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rkotic\United Nations Development Programme\Regional DFF - Documents\03 Budgets\Regional Budget\"/>
    </mc:Choice>
  </mc:AlternateContent>
  <xr:revisionPtr revIDLastSave="41" documentId="13_ncr:1_{078D2B9F-9036-431B-A99D-C4C275F008A2}" xr6:coauthVersionLast="43" xr6:coauthVersionMax="43" xr10:uidLastSave="{321695AF-E750-4FBB-8623-8EB942C88DE0}"/>
  <bookViews>
    <workbookView xWindow="23880" yWindow="-120" windowWidth="29040" windowHeight="15840" activeTab="2" xr2:uid="{DEF3EC53-E73E-468D-9AAE-5ED48BC029A3}"/>
  </bookViews>
  <sheets>
    <sheet name="DFF Regional Output Level" sheetId="1" r:id="rId1"/>
    <sheet name="DFF Regional Annex D.2" sheetId="3" r:id="rId2"/>
    <sheet name="DFF Regional Annex D.1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3" l="1"/>
  <c r="P6" i="3"/>
  <c r="P7" i="3"/>
  <c r="P8" i="3"/>
  <c r="P9" i="3"/>
  <c r="P10" i="3"/>
  <c r="P11" i="3"/>
  <c r="P12" i="3"/>
  <c r="P13" i="3"/>
  <c r="P4" i="3"/>
  <c r="O5" i="3"/>
  <c r="O6" i="3"/>
  <c r="O7" i="3"/>
  <c r="O8" i="3"/>
  <c r="O9" i="3"/>
  <c r="O10" i="3"/>
  <c r="O11" i="3"/>
  <c r="O12" i="3"/>
  <c r="O13" i="3"/>
  <c r="O4" i="3"/>
  <c r="N5" i="3"/>
  <c r="N6" i="3"/>
  <c r="N7" i="3"/>
  <c r="N8" i="3"/>
  <c r="N9" i="3"/>
  <c r="N10" i="3"/>
  <c r="N11" i="3"/>
  <c r="N12" i="3"/>
  <c r="N13" i="3"/>
  <c r="N4" i="3"/>
  <c r="M11" i="3"/>
  <c r="M12" i="3"/>
  <c r="M13" i="3"/>
  <c r="M5" i="3"/>
  <c r="M6" i="3"/>
  <c r="M7" i="3"/>
  <c r="M8" i="3"/>
  <c r="M9" i="3"/>
  <c r="M10" i="3"/>
  <c r="M4" i="3"/>
  <c r="R12" i="2" l="1"/>
  <c r="I4" i="1"/>
  <c r="I5" i="1"/>
  <c r="I6" i="1"/>
  <c r="I7" i="1"/>
  <c r="I8" i="1"/>
  <c r="I3" i="1"/>
  <c r="I10" i="1"/>
  <c r="I11" i="1"/>
  <c r="I12" i="1"/>
  <c r="I13" i="1"/>
  <c r="I14" i="1"/>
  <c r="I9" i="1"/>
  <c r="I16" i="1"/>
  <c r="I17" i="1"/>
  <c r="I18" i="1"/>
  <c r="I15" i="1"/>
  <c r="I26" i="1"/>
  <c r="I32" i="1"/>
  <c r="I38" i="1"/>
  <c r="I42" i="1"/>
  <c r="I50" i="1"/>
  <c r="I51" i="1"/>
  <c r="I52" i="1"/>
  <c r="I53" i="1"/>
  <c r="I54" i="1"/>
  <c r="I49" i="1"/>
  <c r="I56" i="1"/>
  <c r="I57" i="1"/>
  <c r="I58" i="1"/>
  <c r="I59" i="1"/>
  <c r="I60" i="1"/>
  <c r="I55" i="1"/>
  <c r="I62" i="1"/>
  <c r="I63" i="1"/>
  <c r="I64" i="1"/>
  <c r="I61" i="1"/>
  <c r="I65" i="1"/>
  <c r="F72" i="1"/>
  <c r="F78" i="1"/>
  <c r="F84" i="1"/>
  <c r="F88" i="1"/>
  <c r="G72" i="1"/>
  <c r="G78" i="1"/>
  <c r="G84" i="1"/>
  <c r="G88" i="1"/>
  <c r="H72" i="1"/>
  <c r="H78" i="1"/>
  <c r="H84" i="1"/>
  <c r="H88" i="1"/>
  <c r="H3" i="1"/>
  <c r="H9" i="1"/>
  <c r="H15" i="1"/>
  <c r="H19" i="1"/>
  <c r="H26" i="1"/>
  <c r="H32" i="1"/>
  <c r="H38" i="1"/>
  <c r="H42" i="1"/>
  <c r="H49" i="1"/>
  <c r="H55" i="1"/>
  <c r="H61" i="1"/>
  <c r="H65" i="1"/>
  <c r="G3" i="1"/>
  <c r="G9" i="1"/>
  <c r="G15" i="1"/>
  <c r="G19" i="1"/>
  <c r="G20" i="1"/>
  <c r="G26" i="1"/>
  <c r="G32" i="1"/>
  <c r="G38" i="1"/>
  <c r="G42" i="1"/>
  <c r="G49" i="1"/>
  <c r="G55" i="1"/>
  <c r="G61" i="1"/>
  <c r="G65" i="1"/>
  <c r="G66" i="1"/>
  <c r="F3" i="1"/>
  <c r="F9" i="1"/>
  <c r="F15" i="1"/>
  <c r="F19" i="1"/>
  <c r="F26" i="1"/>
  <c r="F32" i="1"/>
  <c r="F38" i="1"/>
  <c r="F42" i="1"/>
  <c r="F43" i="1"/>
  <c r="F49" i="1"/>
  <c r="F55" i="1"/>
  <c r="F61" i="1"/>
  <c r="F65" i="1"/>
  <c r="F66" i="1"/>
  <c r="E40" i="3"/>
  <c r="E39" i="3"/>
  <c r="E38" i="3"/>
  <c r="E37" i="3"/>
  <c r="E36" i="3"/>
  <c r="E34" i="3"/>
  <c r="E35" i="3"/>
  <c r="E41" i="3"/>
  <c r="D40" i="3"/>
  <c r="D25" i="3"/>
  <c r="D55" i="3"/>
  <c r="D70" i="3"/>
  <c r="D39" i="3"/>
  <c r="D38" i="3"/>
  <c r="D37" i="3"/>
  <c r="D36" i="3"/>
  <c r="D34" i="3"/>
  <c r="D35" i="3"/>
  <c r="D41" i="3"/>
  <c r="F41" i="3"/>
  <c r="F42" i="3"/>
  <c r="F43" i="3"/>
  <c r="G41" i="3"/>
  <c r="G42" i="3"/>
  <c r="G43" i="3"/>
  <c r="H41" i="3"/>
  <c r="H42" i="3"/>
  <c r="H43" i="3"/>
  <c r="I41" i="3"/>
  <c r="I42" i="3"/>
  <c r="J41" i="3"/>
  <c r="J42" i="3"/>
  <c r="J43" i="3"/>
  <c r="B41" i="3"/>
  <c r="B25" i="3"/>
  <c r="B55" i="3"/>
  <c r="B70" i="3"/>
  <c r="F25" i="3"/>
  <c r="F55" i="3"/>
  <c r="F70" i="3"/>
  <c r="H70" i="3"/>
  <c r="C41" i="3"/>
  <c r="C42" i="3"/>
  <c r="I5" i="3"/>
  <c r="I6" i="3"/>
  <c r="I7" i="3"/>
  <c r="I8" i="3"/>
  <c r="I9" i="3"/>
  <c r="I10" i="3"/>
  <c r="I4" i="3"/>
  <c r="H5" i="3"/>
  <c r="J5" i="3"/>
  <c r="H6" i="3"/>
  <c r="J6" i="3"/>
  <c r="H7" i="3"/>
  <c r="H8" i="3"/>
  <c r="H9" i="3"/>
  <c r="J9" i="3"/>
  <c r="H10" i="3"/>
  <c r="H4" i="3"/>
  <c r="J4" i="3"/>
  <c r="E15" i="1"/>
  <c r="E9" i="1"/>
  <c r="E3" i="1"/>
  <c r="J8" i="3"/>
  <c r="J7" i="3"/>
  <c r="J10" i="3"/>
  <c r="B11" i="3"/>
  <c r="D50" i="3"/>
  <c r="B50" i="3"/>
  <c r="F50" i="3"/>
  <c r="H50" i="3"/>
  <c r="G55" i="3"/>
  <c r="G25" i="3"/>
  <c r="G70" i="3"/>
  <c r="G54" i="3"/>
  <c r="G53" i="3"/>
  <c r="G52" i="3"/>
  <c r="G51" i="3"/>
  <c r="G21" i="3"/>
  <c r="G66" i="3"/>
  <c r="G50" i="3"/>
  <c r="G49" i="3"/>
  <c r="G56" i="3"/>
  <c r="G57" i="3"/>
  <c r="G58" i="3"/>
  <c r="C49" i="3"/>
  <c r="C50" i="3"/>
  <c r="C51" i="3"/>
  <c r="C52" i="3"/>
  <c r="C53" i="3"/>
  <c r="C54" i="3"/>
  <c r="C55" i="3"/>
  <c r="C56" i="3"/>
  <c r="C57" i="3"/>
  <c r="C58" i="3"/>
  <c r="E49" i="3"/>
  <c r="E50" i="3"/>
  <c r="E51" i="3"/>
  <c r="E52" i="3"/>
  <c r="E53" i="3"/>
  <c r="E54" i="3"/>
  <c r="E55" i="3"/>
  <c r="E56" i="3"/>
  <c r="E57" i="3"/>
  <c r="E58" i="3"/>
  <c r="I58" i="3"/>
  <c r="C20" i="3"/>
  <c r="C65" i="3"/>
  <c r="C23" i="3"/>
  <c r="C68" i="3"/>
  <c r="C24" i="3"/>
  <c r="C69" i="3"/>
  <c r="G24" i="3"/>
  <c r="G69" i="3"/>
  <c r="E24" i="3"/>
  <c r="E69" i="3"/>
  <c r="I69" i="3"/>
  <c r="F54" i="3"/>
  <c r="F53" i="3"/>
  <c r="F52" i="3"/>
  <c r="F51" i="3"/>
  <c r="F49" i="3"/>
  <c r="F56" i="3"/>
  <c r="B49" i="3"/>
  <c r="D49" i="3"/>
  <c r="H49" i="3"/>
  <c r="I55" i="3"/>
  <c r="I52" i="3"/>
  <c r="D54" i="3"/>
  <c r="D53" i="3"/>
  <c r="D52" i="3"/>
  <c r="D51" i="3"/>
  <c r="D19" i="3"/>
  <c r="D64" i="3"/>
  <c r="I54" i="3"/>
  <c r="H55" i="3"/>
  <c r="J55" i="3"/>
  <c r="B54" i="3"/>
  <c r="H54" i="3"/>
  <c r="B53" i="3"/>
  <c r="B52" i="3"/>
  <c r="B22" i="3"/>
  <c r="B67" i="3"/>
  <c r="B51" i="3"/>
  <c r="H51" i="3"/>
  <c r="G23" i="3"/>
  <c r="E23" i="3"/>
  <c r="I23" i="3"/>
  <c r="G22" i="3"/>
  <c r="G20" i="3"/>
  <c r="G65" i="3"/>
  <c r="G19" i="3"/>
  <c r="G26" i="3"/>
  <c r="G27" i="3"/>
  <c r="C19" i="3"/>
  <c r="E19" i="3"/>
  <c r="F24" i="3"/>
  <c r="F23" i="3"/>
  <c r="B23" i="3"/>
  <c r="D23" i="3"/>
  <c r="H23" i="3"/>
  <c r="J23" i="3"/>
  <c r="F22" i="3"/>
  <c r="F21" i="3"/>
  <c r="F20" i="3"/>
  <c r="F65" i="3"/>
  <c r="F19" i="3"/>
  <c r="D24" i="3"/>
  <c r="D69" i="3"/>
  <c r="D22" i="3"/>
  <c r="H22" i="3"/>
  <c r="C22" i="3"/>
  <c r="E22" i="3"/>
  <c r="I22" i="3"/>
  <c r="J22" i="3"/>
  <c r="E67" i="3"/>
  <c r="D21" i="3"/>
  <c r="D20" i="3"/>
  <c r="D26" i="3"/>
  <c r="D27" i="3"/>
  <c r="E25" i="3"/>
  <c r="E70" i="3"/>
  <c r="E21" i="3"/>
  <c r="E66" i="3"/>
  <c r="E20" i="3"/>
  <c r="B24" i="3"/>
  <c r="H24" i="3"/>
  <c r="I24" i="3"/>
  <c r="C25" i="3"/>
  <c r="I25" i="3"/>
  <c r="C21" i="3"/>
  <c r="I21" i="3"/>
  <c r="I20" i="3"/>
  <c r="H25" i="3"/>
  <c r="J25" i="3"/>
  <c r="B21" i="3"/>
  <c r="H21" i="3"/>
  <c r="B20" i="3"/>
  <c r="B65" i="3"/>
  <c r="B19" i="3"/>
  <c r="H19" i="3"/>
  <c r="F11" i="3"/>
  <c r="G11" i="3"/>
  <c r="F66" i="3"/>
  <c r="E65" i="3"/>
  <c r="E68" i="3"/>
  <c r="E64" i="3"/>
  <c r="D68" i="3"/>
  <c r="C66" i="3"/>
  <c r="C70" i="3"/>
  <c r="I70" i="3"/>
  <c r="C64" i="3"/>
  <c r="B68" i="3"/>
  <c r="F68" i="3"/>
  <c r="H68" i="3"/>
  <c r="I49" i="3"/>
  <c r="H53" i="3"/>
  <c r="I53" i="3"/>
  <c r="J53" i="3"/>
  <c r="F64" i="3"/>
  <c r="G68" i="3"/>
  <c r="F67" i="3"/>
  <c r="F69" i="3"/>
  <c r="G67" i="3"/>
  <c r="C11" i="3"/>
  <c r="C12" i="3"/>
  <c r="D11" i="3"/>
  <c r="D12" i="3"/>
  <c r="D13" i="3"/>
  <c r="E11" i="3"/>
  <c r="I11" i="3"/>
  <c r="C26" i="3"/>
  <c r="F26" i="3"/>
  <c r="F27" i="3"/>
  <c r="R17" i="2"/>
  <c r="R18" i="2"/>
  <c r="R16" i="2"/>
  <c r="R15" i="2"/>
  <c r="Q17" i="2"/>
  <c r="Q18" i="2"/>
  <c r="Q16" i="2"/>
  <c r="Q15" i="2"/>
  <c r="P17" i="2"/>
  <c r="P18" i="2"/>
  <c r="P16" i="2"/>
  <c r="P15" i="2"/>
  <c r="R11" i="2"/>
  <c r="R13" i="2"/>
  <c r="R14" i="2"/>
  <c r="Q11" i="2"/>
  <c r="Q12" i="2"/>
  <c r="Q13" i="2"/>
  <c r="O13" i="2"/>
  <c r="P13" i="2"/>
  <c r="U13" i="2"/>
  <c r="Q14" i="2"/>
  <c r="Q10" i="2"/>
  <c r="P11" i="2"/>
  <c r="O11" i="2"/>
  <c r="U11" i="2"/>
  <c r="P12" i="2"/>
  <c r="P14" i="2"/>
  <c r="P10" i="2"/>
  <c r="P9" i="2"/>
  <c r="O14" i="2"/>
  <c r="U14" i="2"/>
  <c r="R5" i="2"/>
  <c r="R4" i="2"/>
  <c r="R6" i="2"/>
  <c r="R7" i="2"/>
  <c r="R8" i="2"/>
  <c r="R3" i="2"/>
  <c r="Q5" i="2"/>
  <c r="Q6" i="2"/>
  <c r="Q7" i="2"/>
  <c r="Q8" i="2"/>
  <c r="Q4" i="2"/>
  <c r="P5" i="2"/>
  <c r="P6" i="2"/>
  <c r="O6" i="2"/>
  <c r="U6" i="2"/>
  <c r="P7" i="2"/>
  <c r="O7" i="2"/>
  <c r="U7" i="2"/>
  <c r="P8" i="2"/>
  <c r="P4" i="2"/>
  <c r="O4" i="2"/>
  <c r="O5" i="2"/>
  <c r="U5" i="2"/>
  <c r="O8" i="2"/>
  <c r="O10" i="2"/>
  <c r="O12" i="2"/>
  <c r="O16" i="2"/>
  <c r="O17" i="2"/>
  <c r="U17" i="2"/>
  <c r="O18" i="2"/>
  <c r="E84" i="2"/>
  <c r="F84" i="2"/>
  <c r="D84" i="2"/>
  <c r="D72" i="2"/>
  <c r="D78" i="2"/>
  <c r="D88" i="2"/>
  <c r="E78" i="2"/>
  <c r="F78" i="2"/>
  <c r="E72" i="2"/>
  <c r="F72" i="2"/>
  <c r="G72" i="2"/>
  <c r="E88" i="2"/>
  <c r="E89" i="2"/>
  <c r="R9" i="2"/>
  <c r="R19" i="2"/>
  <c r="E61" i="2"/>
  <c r="F61" i="2"/>
  <c r="D61" i="2"/>
  <c r="E55" i="2"/>
  <c r="F55" i="2"/>
  <c r="D55" i="2"/>
  <c r="E49" i="2"/>
  <c r="F49" i="2"/>
  <c r="F65" i="2"/>
  <c r="F66" i="2"/>
  <c r="D49" i="2"/>
  <c r="D26" i="2"/>
  <c r="E38" i="2"/>
  <c r="F38" i="2"/>
  <c r="D38" i="2"/>
  <c r="E32" i="2"/>
  <c r="F32" i="2"/>
  <c r="F26" i="2"/>
  <c r="F42" i="2"/>
  <c r="F43" i="2"/>
  <c r="F44" i="2"/>
  <c r="D32" i="2"/>
  <c r="D42" i="2"/>
  <c r="E26" i="2"/>
  <c r="E42" i="2"/>
  <c r="G26" i="2"/>
  <c r="D15" i="2"/>
  <c r="D3" i="2"/>
  <c r="D9" i="2"/>
  <c r="D19" i="2"/>
  <c r="E15" i="2"/>
  <c r="E3" i="2"/>
  <c r="E9" i="2"/>
  <c r="E19" i="2"/>
  <c r="F15" i="2"/>
  <c r="C15" i="2"/>
  <c r="O15" i="2"/>
  <c r="U15" i="2"/>
  <c r="F9" i="2"/>
  <c r="C9" i="2"/>
  <c r="O9" i="2"/>
  <c r="F3" i="2"/>
  <c r="C3" i="2"/>
  <c r="I86" i="1"/>
  <c r="I85" i="1"/>
  <c r="I87" i="1"/>
  <c r="I84" i="1"/>
  <c r="I80" i="1"/>
  <c r="I81" i="1"/>
  <c r="I82" i="1"/>
  <c r="I79" i="1"/>
  <c r="I83" i="1"/>
  <c r="I78" i="1"/>
  <c r="I74" i="1"/>
  <c r="I75" i="1"/>
  <c r="I76" i="1"/>
  <c r="I73" i="1"/>
  <c r="I77" i="1"/>
  <c r="I72" i="1"/>
  <c r="E19" i="1"/>
  <c r="E93" i="1"/>
  <c r="U18" i="2"/>
  <c r="Q9" i="2"/>
  <c r="U12" i="2"/>
  <c r="O3" i="2"/>
  <c r="O19" i="2"/>
  <c r="G49" i="2"/>
  <c r="D65" i="2"/>
  <c r="D66" i="2"/>
  <c r="D67" i="2"/>
  <c r="I68" i="3"/>
  <c r="C13" i="3"/>
  <c r="I57" i="3"/>
  <c r="I12" i="3"/>
  <c r="I13" i="3"/>
  <c r="H11" i="3"/>
  <c r="J11" i="3"/>
  <c r="J12" i="3"/>
  <c r="E12" i="3"/>
  <c r="E13" i="3"/>
  <c r="U16" i="2"/>
  <c r="C19" i="2"/>
  <c r="C20" i="2"/>
  <c r="C21" i="2"/>
  <c r="U10" i="2"/>
  <c r="F19" i="2"/>
  <c r="F20" i="2"/>
  <c r="F57" i="3"/>
  <c r="F58" i="3"/>
  <c r="B12" i="3"/>
  <c r="B13" i="3"/>
  <c r="G12" i="3"/>
  <c r="G13" i="3"/>
  <c r="G28" i="3"/>
  <c r="G73" i="3"/>
  <c r="G71" i="3"/>
  <c r="E43" i="2"/>
  <c r="C71" i="3"/>
  <c r="F12" i="3"/>
  <c r="F72" i="3"/>
  <c r="F71" i="3"/>
  <c r="J21" i="3"/>
  <c r="J54" i="3"/>
  <c r="B26" i="3"/>
  <c r="E20" i="1"/>
  <c r="E94" i="1"/>
  <c r="E90" i="2"/>
  <c r="H20" i="3"/>
  <c r="D56" i="3"/>
  <c r="D57" i="3"/>
  <c r="G3" i="2"/>
  <c r="D28" i="3"/>
  <c r="I51" i="3"/>
  <c r="B69" i="3"/>
  <c r="D67" i="3"/>
  <c r="G64" i="3"/>
  <c r="I64" i="3"/>
  <c r="G93" i="1"/>
  <c r="H12" i="3"/>
  <c r="E21" i="1"/>
  <c r="E95" i="1"/>
  <c r="J51" i="3"/>
  <c r="D71" i="3"/>
  <c r="H26" i="3"/>
  <c r="J20" i="3"/>
  <c r="B27" i="3"/>
  <c r="B28" i="3"/>
  <c r="F67" i="2"/>
  <c r="J70" i="3"/>
  <c r="H67" i="3"/>
  <c r="J68" i="3"/>
  <c r="U9" i="2"/>
  <c r="O20" i="2"/>
  <c r="D20" i="2"/>
  <c r="D21" i="2"/>
  <c r="D42" i="3"/>
  <c r="D43" i="3"/>
  <c r="D58" i="3"/>
  <c r="D73" i="3"/>
  <c r="D43" i="2"/>
  <c r="D44" i="2"/>
  <c r="R20" i="2"/>
  <c r="R21" i="2"/>
  <c r="D89" i="2"/>
  <c r="D90" i="2"/>
  <c r="E20" i="2"/>
  <c r="E21" i="2"/>
  <c r="I88" i="1"/>
  <c r="F89" i="1"/>
  <c r="F90" i="1"/>
  <c r="H27" i="3"/>
  <c r="H28" i="3"/>
  <c r="F13" i="3"/>
  <c r="F21" i="2"/>
  <c r="G72" i="3"/>
  <c r="P3" i="2"/>
  <c r="P19" i="2"/>
  <c r="U8" i="2"/>
  <c r="U4" i="2"/>
  <c r="H66" i="1"/>
  <c r="H67" i="1"/>
  <c r="G89" i="1"/>
  <c r="G90" i="1"/>
  <c r="E44" i="2"/>
  <c r="C27" i="3"/>
  <c r="C72" i="3"/>
  <c r="C28" i="3"/>
  <c r="C43" i="3"/>
  <c r="C73" i="3"/>
  <c r="J24" i="3"/>
  <c r="J49" i="3"/>
  <c r="I50" i="3"/>
  <c r="J50" i="3"/>
  <c r="E42" i="3"/>
  <c r="E43" i="3"/>
  <c r="F20" i="1"/>
  <c r="F93" i="1"/>
  <c r="G43" i="1"/>
  <c r="G94" i="1"/>
  <c r="H43" i="1"/>
  <c r="H44" i="1"/>
  <c r="H89" i="1"/>
  <c r="H90" i="1"/>
  <c r="I43" i="1"/>
  <c r="I44" i="1"/>
  <c r="F44" i="1"/>
  <c r="F67" i="1"/>
  <c r="H69" i="3"/>
  <c r="J69" i="3"/>
  <c r="F28" i="3"/>
  <c r="H13" i="3"/>
  <c r="J13" i="3"/>
  <c r="E65" i="2"/>
  <c r="F88" i="2"/>
  <c r="Q3" i="2"/>
  <c r="Q19" i="2"/>
  <c r="I66" i="3"/>
  <c r="I65" i="3"/>
  <c r="B42" i="3"/>
  <c r="D72" i="3"/>
  <c r="H20" i="1"/>
  <c r="H94" i="1"/>
  <c r="H93" i="1"/>
  <c r="I66" i="1"/>
  <c r="I67" i="1"/>
  <c r="I19" i="1"/>
  <c r="E26" i="3"/>
  <c r="B56" i="3"/>
  <c r="H52" i="3"/>
  <c r="J52" i="3"/>
  <c r="I56" i="3"/>
  <c r="D66" i="3"/>
  <c r="I19" i="3"/>
  <c r="I26" i="3"/>
  <c r="B64" i="3"/>
  <c r="H64" i="3"/>
  <c r="J64" i="3"/>
  <c r="B66" i="3"/>
  <c r="D65" i="3"/>
  <c r="H65" i="3"/>
  <c r="I43" i="3"/>
  <c r="G67" i="1"/>
  <c r="G21" i="1"/>
  <c r="C67" i="3"/>
  <c r="I67" i="3"/>
  <c r="J67" i="3"/>
  <c r="I27" i="3"/>
  <c r="I28" i="3"/>
  <c r="B71" i="3"/>
  <c r="H71" i="3"/>
  <c r="B57" i="3"/>
  <c r="H57" i="3"/>
  <c r="J57" i="3"/>
  <c r="E66" i="2"/>
  <c r="E67" i="2"/>
  <c r="J56" i="3"/>
  <c r="P20" i="2"/>
  <c r="P21" i="2"/>
  <c r="J19" i="3"/>
  <c r="J26" i="3"/>
  <c r="J65" i="3"/>
  <c r="E27" i="3"/>
  <c r="E72" i="3"/>
  <c r="I72" i="3"/>
  <c r="E71" i="3"/>
  <c r="I71" i="3"/>
  <c r="H56" i="3"/>
  <c r="O21" i="2"/>
  <c r="F89" i="2"/>
  <c r="F90" i="2"/>
  <c r="F94" i="1"/>
  <c r="F21" i="1"/>
  <c r="F95" i="1"/>
  <c r="F96" i="1"/>
  <c r="U3" i="2"/>
  <c r="S3" i="2"/>
  <c r="G44" i="1"/>
  <c r="G95" i="1"/>
  <c r="H66" i="3"/>
  <c r="J66" i="3"/>
  <c r="I20" i="1"/>
  <c r="I21" i="1"/>
  <c r="I93" i="1"/>
  <c r="H21" i="1"/>
  <c r="H95" i="1"/>
  <c r="B43" i="3"/>
  <c r="Q20" i="2"/>
  <c r="Q21" i="2"/>
  <c r="F73" i="3"/>
  <c r="I89" i="1"/>
  <c r="I90" i="1"/>
  <c r="U19" i="2"/>
  <c r="J71" i="3"/>
  <c r="I95" i="1"/>
  <c r="I94" i="1"/>
  <c r="J27" i="3"/>
  <c r="J28" i="3"/>
  <c r="B58" i="3"/>
  <c r="H58" i="3"/>
  <c r="J58" i="3"/>
  <c r="B72" i="3"/>
  <c r="H72" i="3"/>
  <c r="J72" i="3"/>
  <c r="U21" i="2"/>
  <c r="U20" i="2"/>
  <c r="E28" i="3"/>
  <c r="E73" i="3"/>
  <c r="I73" i="3"/>
  <c r="B73" i="3"/>
  <c r="H73" i="3"/>
  <c r="J73" i="3"/>
</calcChain>
</file>

<file path=xl/sharedStrings.xml><?xml version="1.0" encoding="utf-8"?>
<sst xmlns="http://schemas.openxmlformats.org/spreadsheetml/2006/main" count="453" uniqueCount="84">
  <si>
    <t>1. Bosnia and Herzegovina</t>
  </si>
  <si>
    <t>Activities/Budget Categories</t>
  </si>
  <si>
    <t>Coordination Costs</t>
  </si>
  <si>
    <t>UNDP</t>
  </si>
  <si>
    <t>UNICEF</t>
  </si>
  <si>
    <t>UNESCO</t>
  </si>
  <si>
    <t>Total (USD)</t>
  </si>
  <si>
    <t>Output 1: Different groups in the countries of the region, and youth in particular, acquire and practice skills to help break stereotypes and constructively interact across divides.</t>
  </si>
  <si>
    <t xml:space="preserve">Activity 1.1:  Establish methodological framework to enhance capacities of each stakeholder group (adolescents, organized and unorganized youth, women, opinion-makers: teachers, media)			</t>
  </si>
  <si>
    <t>Activity 1.2: Enhance peacebuilding capacities of youth and adolescents</t>
  </si>
  <si>
    <t>Activity 1.3: Enhance peacebuilding capacities of women's groups</t>
  </si>
  <si>
    <t>Activity 1.4: Enhance capacities of teachers/trainers for promotion of cultural diversity, inter-cultural dialogue and tolerance</t>
  </si>
  <si>
    <t>Activity 1.5: Enhance capacities of media to promote literacy and amplify positive story-telling</t>
  </si>
  <si>
    <t>Output 2: Citizens from different groups jointly identify and implement actions that can promote social cohesion in the region, especially in BiH.</t>
  </si>
  <si>
    <t>Activity 2.1: Organize in-country  youth dialogues on social cohesion</t>
  </si>
  <si>
    <t>Activity 2.2: Organize in-country dialogue platforms on regional social divides and priorities</t>
  </si>
  <si>
    <t>Activity 2.3: Organize first regional platform on common social cohesion priorities</t>
  </si>
  <si>
    <t>Activity 2.4: Enable joint action on indentified social cohesion common priorities (SGF)</t>
  </si>
  <si>
    <t xml:space="preserve">Activity 2.5: Organize regional thematic dialogues </t>
  </si>
  <si>
    <t>Output 3: Policy recommendations to improve social cohesion in the region are effectively advocated for with, and endorsed by, authorities and relevant stakeholders.</t>
  </si>
  <si>
    <t>Activity 3.1: Meetings with decision-makers on policy recommendations</t>
  </si>
  <si>
    <t>Activity 3.2: Support to policy advocacy campaigns</t>
  </si>
  <si>
    <t>Activity 3.3: Organize final regional dialogue platform</t>
  </si>
  <si>
    <t>Sub-Total Project Costs</t>
  </si>
  <si>
    <t xml:space="preserve">8. Indirect Support Costs (GMS 7%)  </t>
  </si>
  <si>
    <t>TOTAL</t>
  </si>
  <si>
    <t>2. Croatia</t>
  </si>
  <si>
    <t>Activity 2.2: Organizein-country dialogue platforms on regional social divides and priorities</t>
  </si>
  <si>
    <t>3. Montenegro</t>
  </si>
  <si>
    <t xml:space="preserve"> -   </t>
  </si>
  <si>
    <t>4. Serbia</t>
  </si>
  <si>
    <t>TOTAL DFF II Regional Bosnia and Herzegovina + Croatia+Montenegro+Serbia</t>
  </si>
  <si>
    <t>Coordination Costs (UNDP)</t>
  </si>
  <si>
    <t>CATEGORIES</t>
  </si>
  <si>
    <t xml:space="preserve"> UNDP</t>
  </si>
  <si>
    <t xml:space="preserve"> UNESCO</t>
  </si>
  <si>
    <t xml:space="preserve">Total tranche 1 </t>
  </si>
  <si>
    <t>Total tranche 2</t>
  </si>
  <si>
    <t>PROJECT 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</si>
  <si>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</si>
  <si>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</si>
  <si>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</si>
  <si>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</si>
  <si>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</si>
  <si>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</si>
  <si>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</si>
  <si>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</si>
  <si>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</si>
  <si>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8. Indirect Support Costs (must be 7%)</t>
  </si>
  <si>
    <t>TOTAL - BiH, Croatia, Montenegro and Serbia</t>
  </si>
  <si>
    <t>Outcome/ Output number</t>
  </si>
  <si>
    <t>Outcome/ output/ activity formulation: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</si>
  <si>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</si>
  <si>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</si>
  <si>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Output 1</t>
  </si>
  <si>
    <t xml:space="preserve">Establish methodological framework to enhance capacities of each stakeholder group (adolescents, organized and unorganized youth, women, opinion-makers: teachers, media)				</t>
  </si>
  <si>
    <t>Activity 1.1</t>
  </si>
  <si>
    <t>Enhance peacebuilding capacities of youth and adolescents</t>
  </si>
  <si>
    <t>Activity 1.2</t>
  </si>
  <si>
    <t xml:space="preserve"> Enhance peacebuilding capacities for women's groups</t>
  </si>
  <si>
    <t>Activity 1.3</t>
  </si>
  <si>
    <t xml:space="preserve"> Enhance capacities of teachers/trainers for promotion of cultural diversity, inter-cultural dialogue and tolerance</t>
  </si>
  <si>
    <t>Activity 1.4</t>
  </si>
  <si>
    <t xml:space="preserve"> Enhance capacities of media </t>
  </si>
  <si>
    <t>Activity 1.5</t>
  </si>
  <si>
    <t>Output 2</t>
  </si>
  <si>
    <t>Organize in-country  youth dialogues on social cohesion</t>
  </si>
  <si>
    <t>Activity 2.1</t>
  </si>
  <si>
    <t>Organize in-country dialogue platforms on regional social divides and priorities</t>
  </si>
  <si>
    <t>Activity 2.2</t>
  </si>
  <si>
    <t xml:space="preserve"> Organize first regional platform on common social cohesion priorities</t>
  </si>
  <si>
    <t>Activity 2.3</t>
  </si>
  <si>
    <t>Enable joint action on indentified social cohesion common priorities (SGF)</t>
  </si>
  <si>
    <t>Activity 2.4</t>
  </si>
  <si>
    <t xml:space="preserve">Organize regional thematic dialogues </t>
  </si>
  <si>
    <t>Activity 2.5</t>
  </si>
  <si>
    <t>Output 3</t>
  </si>
  <si>
    <t xml:space="preserve"> Policy recommendations to improve social cohesion in the region are effectively advocated for with, and endorsed by, authorities and relevant stakeholders.</t>
  </si>
  <si>
    <t>Activity 3.1</t>
  </si>
  <si>
    <t xml:space="preserve"> Support to policy advocacy campaigns</t>
  </si>
  <si>
    <t>Activity 3.2</t>
  </si>
  <si>
    <t>Meetings with decision-makers on policy recommendations</t>
  </si>
  <si>
    <t>Activity 3.3</t>
  </si>
  <si>
    <t>3.Montenegro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</si>
</sst>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1" fillId="0" borderId="0"/>
  </cellStyleXfs>
  <cellXfs count="101">
    <xf numFmtId="0" fontId="0" fillId="0" borderId="0" xfId="0"/>
    <xf numFmtId="43" fontId="2" fillId="2" borderId="4" xfId="0" applyNumberFormat="1" applyFont="1" applyFill="1" applyBorder="1" applyAlignment="1">
      <alignment horizontal="center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43" fontId="0" fillId="0" borderId="4" xfId="1" applyFont="1" applyBorder="1"/>
    <xf numFmtId="43" fontId="3" fillId="6" borderId="4" xfId="0" applyNumberFormat="1" applyFont="1" applyFill="1" applyBorder="1" applyAlignment="1">
      <alignment horizontal="left" wrapText="1"/>
    </xf>
    <xf numFmtId="43" fontId="2" fillId="5" borderId="4" xfId="0" applyNumberFormat="1" applyFont="1" applyFill="1" applyBorder="1" applyAlignment="1">
      <alignment horizontal="center" vertical="center" wrapText="1"/>
    </xf>
    <xf numFmtId="43" fontId="3" fillId="8" borderId="4" xfId="0" applyNumberFormat="1" applyFont="1" applyFill="1" applyBorder="1" applyAlignment="1">
      <alignment horizontal="left" wrapText="1"/>
    </xf>
    <xf numFmtId="43" fontId="3" fillId="9" borderId="7" xfId="0" applyNumberFormat="1" applyFont="1" applyFill="1" applyBorder="1" applyAlignment="1">
      <alignment horizontal="left" wrapText="1"/>
    </xf>
    <xf numFmtId="43" fontId="0" fillId="0" borderId="8" xfId="1" applyFont="1" applyBorder="1"/>
    <xf numFmtId="43" fontId="2" fillId="7" borderId="0" xfId="0" applyNumberFormat="1" applyFont="1" applyFill="1" applyAlignment="1">
      <alignment horizontal="center" vertical="center" wrapText="1"/>
    </xf>
    <xf numFmtId="43" fontId="3" fillId="8" borderId="7" xfId="0" applyNumberFormat="1" applyFont="1" applyFill="1" applyBorder="1" applyAlignment="1">
      <alignment horizontal="left" wrapText="1"/>
    </xf>
    <xf numFmtId="43" fontId="2" fillId="10" borderId="0" xfId="0" applyNumberFormat="1" applyFont="1" applyFill="1" applyAlignment="1">
      <alignment horizontal="center" vertical="center" wrapText="1"/>
    </xf>
    <xf numFmtId="43" fontId="3" fillId="9" borderId="9" xfId="0" applyNumberFormat="1" applyFont="1" applyFill="1" applyBorder="1" applyAlignment="1">
      <alignment horizontal="left" wrapText="1"/>
    </xf>
    <xf numFmtId="43" fontId="3" fillId="9" borderId="3" xfId="0" applyNumberFormat="1" applyFont="1" applyFill="1" applyBorder="1" applyAlignment="1">
      <alignment horizontal="left" wrapText="1"/>
    </xf>
    <xf numFmtId="0" fontId="3" fillId="9" borderId="3" xfId="0" applyFont="1" applyFill="1" applyBorder="1" applyAlignment="1">
      <alignment vertical="top" wrapText="1"/>
    </xf>
    <xf numFmtId="43" fontId="0" fillId="0" borderId="3" xfId="1" applyFont="1" applyBorder="1"/>
    <xf numFmtId="43" fontId="0" fillId="0" borderId="10" xfId="1" applyFont="1" applyBorder="1"/>
    <xf numFmtId="43" fontId="3" fillId="6" borderId="3" xfId="1" applyFont="1" applyFill="1" applyBorder="1" applyAlignment="1">
      <alignment vertical="top" wrapText="1"/>
    </xf>
    <xf numFmtId="43" fontId="3" fillId="6" borderId="3" xfId="0" applyNumberFormat="1" applyFont="1" applyFill="1" applyBorder="1" applyAlignment="1">
      <alignment horizontal="left" wrapText="1"/>
    </xf>
    <xf numFmtId="43" fontId="3" fillId="9" borderId="4" xfId="0" applyNumberFormat="1" applyFont="1" applyFill="1" applyBorder="1" applyAlignment="1">
      <alignment vertical="top" wrapText="1"/>
    </xf>
    <xf numFmtId="43" fontId="3" fillId="8" borderId="9" xfId="0" applyNumberFormat="1" applyFont="1" applyFill="1" applyBorder="1" applyAlignment="1">
      <alignment horizontal="left" wrapText="1"/>
    </xf>
    <xf numFmtId="43" fontId="3" fillId="8" borderId="3" xfId="0" applyNumberFormat="1" applyFont="1" applyFill="1" applyBorder="1" applyAlignment="1">
      <alignment horizontal="left" wrapText="1"/>
    </xf>
    <xf numFmtId="0" fontId="3" fillId="8" borderId="3" xfId="0" applyFont="1" applyFill="1" applyBorder="1" applyAlignment="1">
      <alignment vertical="top" wrapText="1"/>
    </xf>
    <xf numFmtId="43" fontId="3" fillId="8" borderId="4" xfId="0" applyNumberFormat="1" applyFont="1" applyFill="1" applyBorder="1" applyAlignment="1">
      <alignment vertical="top" wrapText="1"/>
    </xf>
    <xf numFmtId="0" fontId="2" fillId="10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3" fontId="7" fillId="3" borderId="4" xfId="0" applyNumberFormat="1" applyFont="1" applyFill="1" applyBorder="1" applyAlignment="1">
      <alignment horizontal="center" vertical="center" wrapText="1"/>
    </xf>
    <xf numFmtId="9" fontId="7" fillId="3" borderId="4" xfId="2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3" fontId="5" fillId="4" borderId="7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3" fontId="5" fillId="4" borderId="4" xfId="1" applyFont="1" applyFill="1" applyBorder="1" applyAlignment="1">
      <alignment horizontal="center" vertical="center" wrapText="1"/>
    </xf>
    <xf numFmtId="43" fontId="5" fillId="4" borderId="4" xfId="0" applyNumberFormat="1" applyFont="1" applyFill="1" applyBorder="1" applyAlignment="1">
      <alignment horizontal="center" vertical="center" wrapText="1"/>
    </xf>
    <xf numFmtId="43" fontId="6" fillId="2" borderId="4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9" fillId="0" borderId="4" xfId="0" applyFont="1" applyBorder="1" applyAlignment="1">
      <alignment vertical="center" wrapText="1"/>
    </xf>
    <xf numFmtId="43" fontId="8" fillId="8" borderId="4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7" fillId="3" borderId="4" xfId="1" applyFont="1" applyFill="1" applyBorder="1" applyAlignment="1">
      <alignment horizontal="center" vertical="center" wrapText="1"/>
    </xf>
    <xf numFmtId="43" fontId="5" fillId="4" borderId="7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3" fontId="5" fillId="0" borderId="4" xfId="1" applyFont="1" applyBorder="1" applyAlignment="1">
      <alignment horizontal="right" wrapText="1"/>
    </xf>
    <xf numFmtId="43" fontId="5" fillId="4" borderId="4" xfId="0" applyNumberFormat="1" applyFont="1" applyFill="1" applyBorder="1" applyAlignment="1">
      <alignment horizontal="right" wrapText="1"/>
    </xf>
    <xf numFmtId="43" fontId="5" fillId="4" borderId="4" xfId="1" applyFont="1" applyFill="1" applyBorder="1" applyAlignment="1">
      <alignment horizontal="right" wrapText="1"/>
    </xf>
    <xf numFmtId="43" fontId="4" fillId="4" borderId="4" xfId="0" applyNumberFormat="1" applyFont="1" applyFill="1" applyBorder="1" applyAlignment="1">
      <alignment wrapText="1"/>
    </xf>
    <xf numFmtId="43" fontId="0" fillId="4" borderId="4" xfId="1" applyFont="1" applyFill="1" applyBorder="1"/>
    <xf numFmtId="43" fontId="9" fillId="4" borderId="4" xfId="0" applyNumberFormat="1" applyFont="1" applyFill="1" applyBorder="1" applyAlignment="1">
      <alignment horizontal="right" vertical="center" wrapText="1"/>
    </xf>
    <xf numFmtId="43" fontId="3" fillId="3" borderId="4" xfId="0" applyNumberFormat="1" applyFont="1" applyFill="1" applyBorder="1" applyAlignment="1">
      <alignment horizontal="left" wrapText="1"/>
    </xf>
    <xf numFmtId="43" fontId="4" fillId="4" borderId="4" xfId="0" applyNumberFormat="1" applyFont="1" applyFill="1" applyBorder="1" applyAlignment="1">
      <alignment horizontal="left" wrapText="1"/>
    </xf>
    <xf numFmtId="43" fontId="4" fillId="4" borderId="3" xfId="0" applyNumberFormat="1" applyFont="1" applyFill="1" applyBorder="1" applyAlignment="1">
      <alignment horizontal="left" wrapText="1"/>
    </xf>
    <xf numFmtId="43" fontId="9" fillId="0" borderId="4" xfId="1" applyFont="1" applyBorder="1" applyAlignment="1">
      <alignment horizontal="right" vertical="center" wrapText="1"/>
    </xf>
    <xf numFmtId="43" fontId="9" fillId="0" borderId="4" xfId="0" applyNumberFormat="1" applyFont="1" applyBorder="1" applyAlignment="1">
      <alignment horizontal="right" vertical="center" wrapText="1"/>
    </xf>
    <xf numFmtId="43" fontId="4" fillId="4" borderId="4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horizontal="center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5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 horizontal="left" vertical="top" wrapText="1"/>
    </xf>
    <xf numFmtId="0" fontId="3" fillId="9" borderId="2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wrapText="1"/>
    </xf>
    <xf numFmtId="0" fontId="3" fillId="9" borderId="5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4" xr:uid="{00000000-0005-0000-0000-000003000000}"/>
    <cellStyle name="Normal 3" xfId="3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A81CE-A1A7-4D1B-8101-5106E7642002}">
  <dimension ref="A1:I97"/>
  <sheetViews>
    <sheetView zoomScale="90" zoomScaleNormal="90" zoomScaleSheetLayoutView="90" workbookViewId="0">
      <selection activeCell="A7" sqref="A7:D7"/>
    </sheetView>
  </sheetViews>
  <sheetFormatPr defaultRowHeight="15" x14ac:dyDescent="0.25"/>
  <cols>
    <col min="1" max="1" width="21.42578125" customWidth="1"/>
    <col min="4" max="4" width="118.42578125" customWidth="1"/>
    <col min="5" max="9" width="14.7109375" customWidth="1"/>
  </cols>
  <sheetData>
    <row r="1" spans="1:9" ht="15" customHeight="1" x14ac:dyDescent="0.25">
      <c r="A1" s="86" t="s">
        <v>0</v>
      </c>
      <c r="B1" s="87"/>
      <c r="C1" s="87"/>
      <c r="D1" s="87"/>
      <c r="E1" s="87"/>
      <c r="F1" s="87"/>
      <c r="G1" s="87"/>
      <c r="H1" s="87"/>
      <c r="I1" s="87"/>
    </row>
    <row r="2" spans="1:9" ht="15" customHeight="1" x14ac:dyDescent="0.25">
      <c r="A2" s="86" t="s">
        <v>1</v>
      </c>
      <c r="B2" s="87"/>
      <c r="C2" s="87"/>
      <c r="D2" s="90"/>
      <c r="E2" s="60" t="s">
        <v>2</v>
      </c>
      <c r="F2" s="60" t="s">
        <v>3</v>
      </c>
      <c r="G2" s="60" t="s">
        <v>4</v>
      </c>
      <c r="H2" s="60" t="s">
        <v>5</v>
      </c>
      <c r="I2" s="60" t="s">
        <v>6</v>
      </c>
    </row>
    <row r="3" spans="1:9" ht="32.25" customHeight="1" x14ac:dyDescent="0.25">
      <c r="A3" s="91" t="s">
        <v>7</v>
      </c>
      <c r="B3" s="92"/>
      <c r="C3" s="92"/>
      <c r="D3" s="92"/>
      <c r="E3" s="54">
        <f>SUM(E4:E8)</f>
        <v>118708.94625000001</v>
      </c>
      <c r="F3" s="54">
        <f t="shared" ref="F3:I3" si="0">SUM(F4:F8)</f>
        <v>193728.39</v>
      </c>
      <c r="G3" s="54">
        <f t="shared" si="0"/>
        <v>168400</v>
      </c>
      <c r="H3" s="54">
        <f t="shared" si="0"/>
        <v>250900</v>
      </c>
      <c r="I3" s="54">
        <f t="shared" si="0"/>
        <v>731737.33625000005</v>
      </c>
    </row>
    <row r="4" spans="1:9" ht="22.5" customHeight="1" x14ac:dyDescent="0.25">
      <c r="A4" s="68" t="s">
        <v>8</v>
      </c>
      <c r="B4" s="69"/>
      <c r="C4" s="69"/>
      <c r="D4" s="69"/>
      <c r="E4" s="55">
        <v>45125.789250000002</v>
      </c>
      <c r="F4" s="55">
        <v>41418.550000000003</v>
      </c>
      <c r="G4" s="55">
        <v>17100</v>
      </c>
      <c r="H4" s="55">
        <v>123400</v>
      </c>
      <c r="I4" s="55">
        <f>SUM(E4:H4)</f>
        <v>227044.33925000002</v>
      </c>
    </row>
    <row r="5" spans="1:9" ht="18" customHeight="1" x14ac:dyDescent="0.25">
      <c r="A5" s="68" t="s">
        <v>9</v>
      </c>
      <c r="B5" s="69"/>
      <c r="C5" s="69"/>
      <c r="D5" s="69"/>
      <c r="E5" s="55">
        <v>18395.789250000002</v>
      </c>
      <c r="F5" s="56">
        <v>66654.92</v>
      </c>
      <c r="G5" s="56">
        <v>72600</v>
      </c>
      <c r="H5" s="56">
        <v>24000</v>
      </c>
      <c r="I5" s="55">
        <f t="shared" ref="I5:I8" si="1">SUM(E5:H5)</f>
        <v>181650.70925000001</v>
      </c>
    </row>
    <row r="6" spans="1:9" ht="18" customHeight="1" x14ac:dyDescent="0.25">
      <c r="A6" s="68" t="s">
        <v>10</v>
      </c>
      <c r="B6" s="69"/>
      <c r="C6" s="69"/>
      <c r="D6" s="69"/>
      <c r="E6" s="55">
        <v>18395.789250000002</v>
      </c>
      <c r="F6" s="56">
        <v>70654.92</v>
      </c>
      <c r="G6" s="56">
        <v>7500</v>
      </c>
      <c r="H6" s="56">
        <v>5000</v>
      </c>
      <c r="I6" s="55">
        <f t="shared" si="1"/>
        <v>101550.70925</v>
      </c>
    </row>
    <row r="7" spans="1:9" ht="18" customHeight="1" x14ac:dyDescent="0.25">
      <c r="A7" s="68" t="s">
        <v>11</v>
      </c>
      <c r="B7" s="69"/>
      <c r="C7" s="69"/>
      <c r="D7" s="69"/>
      <c r="E7" s="55">
        <v>18395.789250000002</v>
      </c>
      <c r="F7" s="56">
        <v>8000</v>
      </c>
      <c r="G7" s="56">
        <v>43600</v>
      </c>
      <c r="H7" s="56">
        <v>49000</v>
      </c>
      <c r="I7" s="55">
        <f t="shared" si="1"/>
        <v>118995.78925</v>
      </c>
    </row>
    <row r="8" spans="1:9" ht="18" customHeight="1" x14ac:dyDescent="0.25">
      <c r="A8" s="68" t="s">
        <v>12</v>
      </c>
      <c r="B8" s="69"/>
      <c r="C8" s="69"/>
      <c r="D8" s="69"/>
      <c r="E8" s="55">
        <v>18395.789250000002</v>
      </c>
      <c r="F8" s="56">
        <v>7000</v>
      </c>
      <c r="G8" s="56">
        <v>27600</v>
      </c>
      <c r="H8" s="56">
        <v>49500</v>
      </c>
      <c r="I8" s="55">
        <f t="shared" si="1"/>
        <v>102495.78925</v>
      </c>
    </row>
    <row r="9" spans="1:9" ht="18" customHeight="1" x14ac:dyDescent="0.25">
      <c r="A9" s="88" t="s">
        <v>13</v>
      </c>
      <c r="B9" s="89"/>
      <c r="C9" s="89"/>
      <c r="D9" s="89"/>
      <c r="E9" s="54">
        <f>SUM(E10:E14)</f>
        <v>135182.10431250001</v>
      </c>
      <c r="F9" s="54">
        <f t="shared" ref="F9:I9" si="2">SUM(F10:F14)</f>
        <v>165000</v>
      </c>
      <c r="G9" s="54">
        <f t="shared" si="2"/>
        <v>176000</v>
      </c>
      <c r="H9" s="54">
        <f t="shared" si="2"/>
        <v>116000</v>
      </c>
      <c r="I9" s="54">
        <f t="shared" si="2"/>
        <v>592182.10431249999</v>
      </c>
    </row>
    <row r="10" spans="1:9" ht="18" customHeight="1" x14ac:dyDescent="0.25">
      <c r="A10" s="68" t="s">
        <v>14</v>
      </c>
      <c r="B10" s="69"/>
      <c r="C10" s="69"/>
      <c r="D10" s="69"/>
      <c r="E10" s="55">
        <v>18395.789250000002</v>
      </c>
      <c r="F10" s="56">
        <v>52000</v>
      </c>
      <c r="G10" s="56">
        <v>28600</v>
      </c>
      <c r="H10" s="56">
        <v>19000</v>
      </c>
      <c r="I10" s="55">
        <f>SUM(E10:H10)</f>
        <v>117995.78925</v>
      </c>
    </row>
    <row r="11" spans="1:9" ht="18" customHeight="1" x14ac:dyDescent="0.25">
      <c r="A11" s="68" t="s">
        <v>15</v>
      </c>
      <c r="B11" s="69"/>
      <c r="C11" s="69"/>
      <c r="D11" s="69"/>
      <c r="E11" s="55">
        <v>18395.789250000002</v>
      </c>
      <c r="F11" s="56">
        <v>22000</v>
      </c>
      <c r="G11" s="56">
        <v>18600</v>
      </c>
      <c r="H11" s="56">
        <v>9000</v>
      </c>
      <c r="I11" s="55">
        <f t="shared" ref="I11:I14" si="3">SUM(E11:H11)</f>
        <v>67995.789250000002</v>
      </c>
    </row>
    <row r="12" spans="1:9" ht="18" customHeight="1" x14ac:dyDescent="0.25">
      <c r="A12" s="68" t="s">
        <v>16</v>
      </c>
      <c r="B12" s="69"/>
      <c r="C12" s="69"/>
      <c r="D12" s="69"/>
      <c r="E12" s="55">
        <v>70395.789250000002</v>
      </c>
      <c r="F12" s="56">
        <v>1500</v>
      </c>
      <c r="G12" s="56">
        <v>13600</v>
      </c>
      <c r="H12" s="56">
        <v>5000</v>
      </c>
      <c r="I12" s="55">
        <f t="shared" si="3"/>
        <v>90495.789250000002</v>
      </c>
    </row>
    <row r="13" spans="1:9" ht="18" customHeight="1" x14ac:dyDescent="0.25">
      <c r="A13" s="68" t="s">
        <v>17</v>
      </c>
      <c r="B13" s="69"/>
      <c r="C13" s="69"/>
      <c r="D13" s="69"/>
      <c r="E13" s="55">
        <v>23395.789250000002</v>
      </c>
      <c r="F13" s="56">
        <v>79000</v>
      </c>
      <c r="G13" s="56">
        <v>84600</v>
      </c>
      <c r="H13" s="56">
        <v>74000</v>
      </c>
      <c r="I13" s="55">
        <f t="shared" si="3"/>
        <v>260995.78925</v>
      </c>
    </row>
    <row r="14" spans="1:9" ht="18" customHeight="1" x14ac:dyDescent="0.25">
      <c r="A14" s="68" t="s">
        <v>18</v>
      </c>
      <c r="B14" s="69"/>
      <c r="C14" s="69"/>
      <c r="D14" s="69"/>
      <c r="E14" s="55">
        <v>4598.9473125000004</v>
      </c>
      <c r="F14" s="56">
        <v>10500</v>
      </c>
      <c r="G14" s="56">
        <v>30600</v>
      </c>
      <c r="H14" s="56">
        <v>9000</v>
      </c>
      <c r="I14" s="55">
        <f t="shared" si="3"/>
        <v>54698.9473125</v>
      </c>
    </row>
    <row r="15" spans="1:9" ht="18" customHeight="1" x14ac:dyDescent="0.25">
      <c r="A15" s="88" t="s">
        <v>19</v>
      </c>
      <c r="B15" s="89"/>
      <c r="C15" s="89"/>
      <c r="D15" s="89"/>
      <c r="E15" s="54">
        <f>SUM(E16:E18)</f>
        <v>348796.84193749999</v>
      </c>
      <c r="F15" s="54">
        <f t="shared" ref="F15:I15" si="4">SUM(F16:F18)</f>
        <v>34000</v>
      </c>
      <c r="G15" s="54">
        <f t="shared" si="4"/>
        <v>61600</v>
      </c>
      <c r="H15" s="54">
        <f t="shared" si="4"/>
        <v>38500</v>
      </c>
      <c r="I15" s="54">
        <f t="shared" si="4"/>
        <v>482896.84193749994</v>
      </c>
    </row>
    <row r="16" spans="1:9" ht="18" customHeight="1" x14ac:dyDescent="0.25">
      <c r="A16" s="68" t="s">
        <v>20</v>
      </c>
      <c r="B16" s="69"/>
      <c r="C16" s="69"/>
      <c r="D16" s="69"/>
      <c r="E16" s="55">
        <v>187598.94731250001</v>
      </c>
      <c r="F16" s="56">
        <v>11000</v>
      </c>
      <c r="G16" s="56">
        <v>15000</v>
      </c>
      <c r="H16" s="56">
        <v>9500</v>
      </c>
      <c r="I16" s="55">
        <f>SUM(E16:H16)</f>
        <v>223098.94731250001</v>
      </c>
    </row>
    <row r="17" spans="1:9" ht="18" customHeight="1" x14ac:dyDescent="0.25">
      <c r="A17" s="68" t="s">
        <v>21</v>
      </c>
      <c r="B17" s="69"/>
      <c r="C17" s="69"/>
      <c r="D17" s="69"/>
      <c r="E17" s="55">
        <v>104598.94731249999</v>
      </c>
      <c r="F17" s="56">
        <v>20000</v>
      </c>
      <c r="G17" s="56">
        <v>33000</v>
      </c>
      <c r="H17" s="56">
        <v>24000</v>
      </c>
      <c r="I17" s="55">
        <f t="shared" ref="I17:I18" si="5">SUM(E17:H17)</f>
        <v>181598.94731249998</v>
      </c>
    </row>
    <row r="18" spans="1:9" ht="18" customHeight="1" x14ac:dyDescent="0.25">
      <c r="A18" s="68" t="s">
        <v>22</v>
      </c>
      <c r="B18" s="69"/>
      <c r="C18" s="69"/>
      <c r="D18" s="69"/>
      <c r="E18" s="55">
        <v>56598.9473125</v>
      </c>
      <c r="F18" s="56">
        <v>3000</v>
      </c>
      <c r="G18" s="56">
        <v>13600</v>
      </c>
      <c r="H18" s="56">
        <v>5000</v>
      </c>
      <c r="I18" s="55">
        <f t="shared" si="5"/>
        <v>78198.947312500008</v>
      </c>
    </row>
    <row r="19" spans="1:9" x14ac:dyDescent="0.25">
      <c r="A19" s="86" t="s">
        <v>23</v>
      </c>
      <c r="B19" s="87"/>
      <c r="C19" s="87"/>
      <c r="D19" s="87"/>
      <c r="E19" s="2">
        <f>SUM(E3+E9+E15)</f>
        <v>602687.89250000007</v>
      </c>
      <c r="F19" s="1">
        <f t="shared" ref="F19:I19" si="6">SUM(F3+F9+F15)</f>
        <v>392728.39</v>
      </c>
      <c r="G19" s="1">
        <f t="shared" si="6"/>
        <v>406000</v>
      </c>
      <c r="H19" s="1">
        <f t="shared" si="6"/>
        <v>405400</v>
      </c>
      <c r="I19" s="1">
        <f t="shared" si="6"/>
        <v>1806816.2825000002</v>
      </c>
    </row>
    <row r="20" spans="1:9" x14ac:dyDescent="0.25">
      <c r="A20" s="86" t="s">
        <v>24</v>
      </c>
      <c r="B20" s="87"/>
      <c r="C20" s="87"/>
      <c r="D20" s="87"/>
      <c r="E20" s="2">
        <f>E19*0.07</f>
        <v>42188.15247500001</v>
      </c>
      <c r="F20" s="1">
        <f t="shared" ref="F20:I20" si="7">F19*0.07</f>
        <v>27490.987300000004</v>
      </c>
      <c r="G20" s="1">
        <f t="shared" si="7"/>
        <v>28420.000000000004</v>
      </c>
      <c r="H20" s="1">
        <f t="shared" si="7"/>
        <v>28378.000000000004</v>
      </c>
      <c r="I20" s="1">
        <f t="shared" si="7"/>
        <v>126477.13977500003</v>
      </c>
    </row>
    <row r="21" spans="1:9" x14ac:dyDescent="0.25">
      <c r="A21" s="86" t="s">
        <v>25</v>
      </c>
      <c r="B21" s="87"/>
      <c r="C21" s="87"/>
      <c r="D21" s="87"/>
      <c r="E21" s="2">
        <f>SUM(E19:E20)</f>
        <v>644876.04497500008</v>
      </c>
      <c r="F21" s="1">
        <f t="shared" ref="F21:I21" si="8">SUM(F19:F20)</f>
        <v>420219.37729999999</v>
      </c>
      <c r="G21" s="1">
        <f t="shared" si="8"/>
        <v>434420</v>
      </c>
      <c r="H21" s="1">
        <f t="shared" si="8"/>
        <v>433778</v>
      </c>
      <c r="I21" s="1">
        <f t="shared" si="8"/>
        <v>1933293.4222750003</v>
      </c>
    </row>
    <row r="24" spans="1:9" x14ac:dyDescent="0.25">
      <c r="A24" s="81" t="s">
        <v>26</v>
      </c>
      <c r="B24" s="82"/>
      <c r="C24" s="82"/>
      <c r="D24" s="82"/>
      <c r="E24" s="82"/>
      <c r="F24" s="82"/>
      <c r="G24" s="82"/>
      <c r="H24" s="82"/>
      <c r="I24" s="82"/>
    </row>
    <row r="25" spans="1:9" x14ac:dyDescent="0.25">
      <c r="A25" s="81" t="s">
        <v>1</v>
      </c>
      <c r="B25" s="82"/>
      <c r="C25" s="82"/>
      <c r="D25" s="83"/>
      <c r="E25" s="61"/>
      <c r="F25" s="61" t="s">
        <v>3</v>
      </c>
      <c r="G25" s="61" t="s">
        <v>4</v>
      </c>
      <c r="H25" s="61" t="s">
        <v>5</v>
      </c>
      <c r="I25" s="61" t="s">
        <v>6</v>
      </c>
    </row>
    <row r="26" spans="1:9" ht="32.25" customHeight="1" x14ac:dyDescent="0.25">
      <c r="A26" s="84" t="s">
        <v>7</v>
      </c>
      <c r="B26" s="85"/>
      <c r="C26" s="85"/>
      <c r="D26" s="85"/>
      <c r="E26" s="19"/>
      <c r="F26" s="5">
        <f>SUM(F27:F31)</f>
        <v>96712</v>
      </c>
      <c r="G26" s="5">
        <f t="shared" ref="G26:I26" si="9">SUM(G27:G31)</f>
        <v>254500</v>
      </c>
      <c r="H26" s="5">
        <f t="shared" si="9"/>
        <v>239400</v>
      </c>
      <c r="I26" s="5">
        <f t="shared" si="9"/>
        <v>590612</v>
      </c>
    </row>
    <row r="27" spans="1:9" ht="23.25" customHeight="1" x14ac:dyDescent="0.25">
      <c r="A27" s="68" t="s">
        <v>8</v>
      </c>
      <c r="B27" s="69"/>
      <c r="C27" s="69"/>
      <c r="D27" s="69"/>
      <c r="E27" s="56"/>
      <c r="F27" s="55">
        <v>5000</v>
      </c>
      <c r="G27" s="55">
        <v>24000</v>
      </c>
      <c r="H27" s="55">
        <v>132400</v>
      </c>
      <c r="I27" s="55">
        <v>161400</v>
      </c>
    </row>
    <row r="28" spans="1:9" ht="18" customHeight="1" x14ac:dyDescent="0.25">
      <c r="A28" s="68" t="s">
        <v>9</v>
      </c>
      <c r="B28" s="69"/>
      <c r="C28" s="69"/>
      <c r="D28" s="69"/>
      <c r="E28" s="56"/>
      <c r="F28" s="55">
        <v>34712</v>
      </c>
      <c r="G28" s="55">
        <v>136500</v>
      </c>
      <c r="H28" s="55">
        <v>10000</v>
      </c>
      <c r="I28" s="55">
        <v>181212</v>
      </c>
    </row>
    <row r="29" spans="1:9" ht="18" customHeight="1" x14ac:dyDescent="0.25">
      <c r="A29" s="68" t="s">
        <v>10</v>
      </c>
      <c r="B29" s="69"/>
      <c r="C29" s="69"/>
      <c r="D29" s="69"/>
      <c r="E29" s="56"/>
      <c r="F29" s="55">
        <v>35000</v>
      </c>
      <c r="G29" s="55">
        <v>0</v>
      </c>
      <c r="H29" s="55">
        <v>0</v>
      </c>
      <c r="I29" s="55">
        <v>35000</v>
      </c>
    </row>
    <row r="30" spans="1:9" ht="18" customHeight="1" x14ac:dyDescent="0.25">
      <c r="A30" s="68" t="s">
        <v>11</v>
      </c>
      <c r="B30" s="69"/>
      <c r="C30" s="69"/>
      <c r="D30" s="69"/>
      <c r="E30" s="56"/>
      <c r="F30" s="55">
        <v>2000</v>
      </c>
      <c r="G30" s="55">
        <v>0</v>
      </c>
      <c r="H30" s="55">
        <v>53000</v>
      </c>
      <c r="I30" s="55">
        <v>55000</v>
      </c>
    </row>
    <row r="31" spans="1:9" ht="18" customHeight="1" x14ac:dyDescent="0.25">
      <c r="A31" s="68" t="s">
        <v>12</v>
      </c>
      <c r="B31" s="69"/>
      <c r="C31" s="69"/>
      <c r="D31" s="69"/>
      <c r="E31" s="56"/>
      <c r="F31" s="55">
        <v>20000</v>
      </c>
      <c r="G31" s="55">
        <v>94000</v>
      </c>
      <c r="H31" s="55">
        <v>44000</v>
      </c>
      <c r="I31" s="55">
        <v>158000</v>
      </c>
    </row>
    <row r="32" spans="1:9" ht="18" customHeight="1" x14ac:dyDescent="0.25">
      <c r="A32" s="79" t="s">
        <v>13</v>
      </c>
      <c r="B32" s="80"/>
      <c r="C32" s="80"/>
      <c r="D32" s="80"/>
      <c r="E32" s="19"/>
      <c r="F32" s="5">
        <f>SUM(F33:F37)</f>
        <v>125000</v>
      </c>
      <c r="G32" s="5">
        <f t="shared" ref="G32:I32" si="10">SUM(G33:G37)</f>
        <v>113000</v>
      </c>
      <c r="H32" s="5">
        <f t="shared" si="10"/>
        <v>108000</v>
      </c>
      <c r="I32" s="5">
        <f t="shared" si="10"/>
        <v>346000</v>
      </c>
    </row>
    <row r="33" spans="1:9" ht="18" customHeight="1" x14ac:dyDescent="0.25">
      <c r="A33" s="68" t="s">
        <v>14</v>
      </c>
      <c r="B33" s="69"/>
      <c r="C33" s="69"/>
      <c r="D33" s="69"/>
      <c r="E33" s="56"/>
      <c r="F33" s="55">
        <v>30000</v>
      </c>
      <c r="G33" s="55">
        <v>8500</v>
      </c>
      <c r="H33" s="55">
        <v>8000</v>
      </c>
      <c r="I33" s="55">
        <v>46500</v>
      </c>
    </row>
    <row r="34" spans="1:9" ht="18" customHeight="1" x14ac:dyDescent="0.25">
      <c r="A34" s="68" t="s">
        <v>27</v>
      </c>
      <c r="B34" s="69"/>
      <c r="C34" s="69"/>
      <c r="D34" s="69"/>
      <c r="E34" s="56"/>
      <c r="F34" s="55">
        <v>42000</v>
      </c>
      <c r="G34" s="55">
        <v>7000</v>
      </c>
      <c r="H34" s="55">
        <v>10000</v>
      </c>
      <c r="I34" s="55">
        <v>59000</v>
      </c>
    </row>
    <row r="35" spans="1:9" ht="18" customHeight="1" x14ac:dyDescent="0.25">
      <c r="A35" s="68" t="s">
        <v>16</v>
      </c>
      <c r="B35" s="69"/>
      <c r="C35" s="69"/>
      <c r="D35" s="69"/>
      <c r="E35" s="56"/>
      <c r="F35" s="55">
        <v>1000</v>
      </c>
      <c r="G35" s="55">
        <v>3500</v>
      </c>
      <c r="H35" s="55">
        <v>5000</v>
      </c>
      <c r="I35" s="55">
        <v>9500</v>
      </c>
    </row>
    <row r="36" spans="1:9" ht="18" customHeight="1" x14ac:dyDescent="0.25">
      <c r="A36" s="68" t="s">
        <v>17</v>
      </c>
      <c r="B36" s="69"/>
      <c r="C36" s="69"/>
      <c r="D36" s="69"/>
      <c r="E36" s="56"/>
      <c r="F36" s="55">
        <v>40000</v>
      </c>
      <c r="G36" s="55">
        <v>93000</v>
      </c>
      <c r="H36" s="55">
        <v>75000</v>
      </c>
      <c r="I36" s="55">
        <v>208000</v>
      </c>
    </row>
    <row r="37" spans="1:9" ht="18" customHeight="1" x14ac:dyDescent="0.25">
      <c r="A37" s="68" t="s">
        <v>18</v>
      </c>
      <c r="B37" s="69"/>
      <c r="C37" s="69"/>
      <c r="D37" s="69"/>
      <c r="E37" s="56"/>
      <c r="F37" s="55">
        <v>12000</v>
      </c>
      <c r="G37" s="55">
        <v>1000</v>
      </c>
      <c r="H37" s="55">
        <v>10000</v>
      </c>
      <c r="I37" s="55">
        <v>23000</v>
      </c>
    </row>
    <row r="38" spans="1:9" ht="18" customHeight="1" x14ac:dyDescent="0.25">
      <c r="A38" s="79" t="s">
        <v>19</v>
      </c>
      <c r="B38" s="80"/>
      <c r="C38" s="80"/>
      <c r="D38" s="80"/>
      <c r="E38" s="18"/>
      <c r="F38" s="5">
        <f>SUM(F39:F41)</f>
        <v>25500</v>
      </c>
      <c r="G38" s="5">
        <f>SUM(G39:G41)</f>
        <v>11000</v>
      </c>
      <c r="H38" s="5">
        <f>SUM(H39:H41)</f>
        <v>27000</v>
      </c>
      <c r="I38" s="5">
        <f>SUM(I39:I41)</f>
        <v>63500</v>
      </c>
    </row>
    <row r="39" spans="1:9" ht="18" customHeight="1" x14ac:dyDescent="0.25">
      <c r="A39" s="68" t="s">
        <v>20</v>
      </c>
      <c r="B39" s="69"/>
      <c r="C39" s="69"/>
      <c r="D39" s="69"/>
      <c r="E39" s="56"/>
      <c r="F39" s="4">
        <v>4500</v>
      </c>
      <c r="G39" s="4">
        <v>2500</v>
      </c>
      <c r="H39" s="4">
        <v>10000</v>
      </c>
      <c r="I39" s="55">
        <v>17000</v>
      </c>
    </row>
    <row r="40" spans="1:9" ht="18" customHeight="1" x14ac:dyDescent="0.25">
      <c r="A40" s="68" t="s">
        <v>21</v>
      </c>
      <c r="B40" s="69"/>
      <c r="C40" s="69"/>
      <c r="D40" s="69"/>
      <c r="E40" s="56"/>
      <c r="F40" s="4">
        <v>20000</v>
      </c>
      <c r="G40" s="4">
        <v>7500</v>
      </c>
      <c r="H40" s="4">
        <v>12000</v>
      </c>
      <c r="I40" s="55">
        <v>39500</v>
      </c>
    </row>
    <row r="41" spans="1:9" ht="18" customHeight="1" x14ac:dyDescent="0.25">
      <c r="A41" s="68" t="s">
        <v>22</v>
      </c>
      <c r="B41" s="69"/>
      <c r="C41" s="69"/>
      <c r="D41" s="69"/>
      <c r="E41" s="56"/>
      <c r="F41" s="4">
        <v>1000</v>
      </c>
      <c r="G41" s="4">
        <v>1000</v>
      </c>
      <c r="H41" s="4">
        <v>5000</v>
      </c>
      <c r="I41" s="55">
        <v>7000</v>
      </c>
    </row>
    <row r="42" spans="1:9" x14ac:dyDescent="0.25">
      <c r="A42" s="81" t="s">
        <v>23</v>
      </c>
      <c r="B42" s="82"/>
      <c r="C42" s="82"/>
      <c r="D42" s="82"/>
      <c r="E42" s="6"/>
      <c r="F42" s="6">
        <f>F26+F32+F38</f>
        <v>247212</v>
      </c>
      <c r="G42" s="6">
        <f t="shared" ref="G42:I42" si="11">G26+G32+G38</f>
        <v>378500</v>
      </c>
      <c r="H42" s="6">
        <f t="shared" si="11"/>
        <v>374400</v>
      </c>
      <c r="I42" s="6">
        <f t="shared" si="11"/>
        <v>1000112</v>
      </c>
    </row>
    <row r="43" spans="1:9" x14ac:dyDescent="0.25">
      <c r="A43" s="81" t="s">
        <v>24</v>
      </c>
      <c r="B43" s="82"/>
      <c r="C43" s="82"/>
      <c r="D43" s="82"/>
      <c r="E43" s="6"/>
      <c r="F43" s="6">
        <f>F42*0.07</f>
        <v>17304.84</v>
      </c>
      <c r="G43" s="6">
        <f t="shared" ref="G43:I43" si="12">G42*0.07</f>
        <v>26495.000000000004</v>
      </c>
      <c r="H43" s="6">
        <f t="shared" si="12"/>
        <v>26208.000000000004</v>
      </c>
      <c r="I43" s="6">
        <f t="shared" si="12"/>
        <v>70007.840000000011</v>
      </c>
    </row>
    <row r="44" spans="1:9" x14ac:dyDescent="0.25">
      <c r="A44" s="81" t="s">
        <v>25</v>
      </c>
      <c r="B44" s="82"/>
      <c r="C44" s="82"/>
      <c r="D44" s="82"/>
      <c r="E44" s="6"/>
      <c r="F44" s="6">
        <f>SUM(F42:F43)</f>
        <v>264516.84000000003</v>
      </c>
      <c r="G44" s="6">
        <f t="shared" ref="G44:I44" si="13">SUM(G42:G43)</f>
        <v>404995</v>
      </c>
      <c r="H44" s="6">
        <f t="shared" si="13"/>
        <v>400608</v>
      </c>
      <c r="I44" s="6">
        <f t="shared" si="13"/>
        <v>1070119.8400000001</v>
      </c>
    </row>
    <row r="47" spans="1:9" x14ac:dyDescent="0.25">
      <c r="A47" s="72" t="s">
        <v>28</v>
      </c>
      <c r="B47" s="72"/>
      <c r="C47" s="72"/>
      <c r="D47" s="72"/>
      <c r="E47" s="72"/>
      <c r="F47" s="72"/>
      <c r="G47" s="72"/>
      <c r="H47" s="72"/>
      <c r="I47" s="72"/>
    </row>
    <row r="48" spans="1:9" x14ac:dyDescent="0.25">
      <c r="A48" s="72" t="s">
        <v>1</v>
      </c>
      <c r="B48" s="72"/>
      <c r="C48" s="72"/>
      <c r="D48" s="72"/>
      <c r="E48" s="62"/>
      <c r="F48" s="62" t="s">
        <v>3</v>
      </c>
      <c r="G48" s="62" t="s">
        <v>4</v>
      </c>
      <c r="H48" s="62" t="s">
        <v>5</v>
      </c>
      <c r="I48" s="62" t="s">
        <v>6</v>
      </c>
    </row>
    <row r="49" spans="1:9" ht="32.25" customHeight="1" x14ac:dyDescent="0.25">
      <c r="A49" s="77" t="s">
        <v>7</v>
      </c>
      <c r="B49" s="78"/>
      <c r="C49" s="78"/>
      <c r="D49" s="78"/>
      <c r="E49" s="13"/>
      <c r="F49" s="8">
        <f>SUM(F50:F54)</f>
        <v>155115.39000000001</v>
      </c>
      <c r="G49" s="8">
        <f t="shared" ref="G49:I49" si="14">SUM(G50:G54)</f>
        <v>115000</v>
      </c>
      <c r="H49" s="8">
        <f t="shared" si="14"/>
        <v>143940</v>
      </c>
      <c r="I49" s="8">
        <f t="shared" si="14"/>
        <v>414055.39</v>
      </c>
    </row>
    <row r="50" spans="1:9" ht="38.25" customHeight="1" x14ac:dyDescent="0.25">
      <c r="A50" s="68" t="s">
        <v>8</v>
      </c>
      <c r="B50" s="69"/>
      <c r="C50" s="69"/>
      <c r="D50" s="69"/>
      <c r="E50" s="56"/>
      <c r="F50" s="51">
        <v>23598</v>
      </c>
      <c r="G50" s="51">
        <v>30000</v>
      </c>
      <c r="H50" s="55">
        <v>83940</v>
      </c>
      <c r="I50" s="55">
        <f>SUM(F50:H50)</f>
        <v>137538</v>
      </c>
    </row>
    <row r="51" spans="1:9" ht="17.25" customHeight="1" x14ac:dyDescent="0.25">
      <c r="A51" s="68" t="s">
        <v>9</v>
      </c>
      <c r="B51" s="69"/>
      <c r="C51" s="69"/>
      <c r="D51" s="69"/>
      <c r="E51" s="56"/>
      <c r="F51" s="51">
        <v>44802.39</v>
      </c>
      <c r="G51" s="51">
        <v>85000</v>
      </c>
      <c r="H51" s="55" t="s">
        <v>29</v>
      </c>
      <c r="I51" s="55">
        <f t="shared" ref="I51:I54" si="15">SUM(F51:H51)</f>
        <v>129802.39</v>
      </c>
    </row>
    <row r="52" spans="1:9" ht="17.25" customHeight="1" x14ac:dyDescent="0.25">
      <c r="A52" s="68" t="s">
        <v>10</v>
      </c>
      <c r="B52" s="69"/>
      <c r="C52" s="69"/>
      <c r="D52" s="69"/>
      <c r="E52" s="56"/>
      <c r="F52" s="51">
        <v>86715</v>
      </c>
      <c r="G52" s="51">
        <v>0</v>
      </c>
      <c r="H52" s="55" t="s">
        <v>29</v>
      </c>
      <c r="I52" s="55">
        <f t="shared" si="15"/>
        <v>86715</v>
      </c>
    </row>
    <row r="53" spans="1:9" ht="17.25" customHeight="1" x14ac:dyDescent="0.25">
      <c r="A53" s="68" t="s">
        <v>11</v>
      </c>
      <c r="B53" s="69"/>
      <c r="C53" s="69"/>
      <c r="D53" s="69"/>
      <c r="E53" s="56"/>
      <c r="F53" s="51">
        <v>0</v>
      </c>
      <c r="G53" s="51">
        <v>0</v>
      </c>
      <c r="H53" s="55">
        <v>45000</v>
      </c>
      <c r="I53" s="55">
        <f t="shared" si="15"/>
        <v>45000</v>
      </c>
    </row>
    <row r="54" spans="1:9" ht="17.25" customHeight="1" x14ac:dyDescent="0.25">
      <c r="A54" s="68" t="s">
        <v>12</v>
      </c>
      <c r="B54" s="69"/>
      <c r="C54" s="69"/>
      <c r="D54" s="69"/>
      <c r="E54" s="56"/>
      <c r="F54" s="51">
        <v>0</v>
      </c>
      <c r="G54" s="51">
        <v>0</v>
      </c>
      <c r="H54" s="55">
        <v>15000</v>
      </c>
      <c r="I54" s="55">
        <f t="shared" si="15"/>
        <v>15000</v>
      </c>
    </row>
    <row r="55" spans="1:9" ht="17.25" customHeight="1" x14ac:dyDescent="0.25">
      <c r="A55" s="75" t="s">
        <v>13</v>
      </c>
      <c r="B55" s="76"/>
      <c r="C55" s="76"/>
      <c r="D55" s="76"/>
      <c r="E55" s="14"/>
      <c r="F55" s="8">
        <f>SUM(F56:F60)</f>
        <v>154674.1</v>
      </c>
      <c r="G55" s="8">
        <f t="shared" ref="G55:I55" si="16">SUM(G56:G60)</f>
        <v>140000</v>
      </c>
      <c r="H55" s="8">
        <f>SUM(H56:H60)</f>
        <v>100000</v>
      </c>
      <c r="I55" s="8">
        <f t="shared" si="16"/>
        <v>394674.1</v>
      </c>
    </row>
    <row r="56" spans="1:9" ht="17.25" customHeight="1" x14ac:dyDescent="0.25">
      <c r="A56" s="68" t="s">
        <v>14</v>
      </c>
      <c r="B56" s="69"/>
      <c r="C56" s="69"/>
      <c r="D56" s="69"/>
      <c r="E56" s="56"/>
      <c r="F56" s="51">
        <v>0</v>
      </c>
      <c r="G56" s="51">
        <v>35000</v>
      </c>
      <c r="H56" s="55" t="s">
        <v>29</v>
      </c>
      <c r="I56" s="55">
        <f>SUM(F56:H56)</f>
        <v>35000</v>
      </c>
    </row>
    <row r="57" spans="1:9" ht="17.25" customHeight="1" x14ac:dyDescent="0.25">
      <c r="A57" s="68" t="s">
        <v>27</v>
      </c>
      <c r="B57" s="69"/>
      <c r="C57" s="69"/>
      <c r="D57" s="69"/>
      <c r="E57" s="56"/>
      <c r="F57" s="51">
        <v>55482</v>
      </c>
      <c r="G57" s="51">
        <v>70000</v>
      </c>
      <c r="H57" s="55">
        <v>10000</v>
      </c>
      <c r="I57" s="55">
        <f t="shared" ref="I57:I60" si="17">SUM(F57:H57)</f>
        <v>135482</v>
      </c>
    </row>
    <row r="58" spans="1:9" ht="17.25" customHeight="1" x14ac:dyDescent="0.25">
      <c r="A58" s="68" t="s">
        <v>16</v>
      </c>
      <c r="B58" s="69"/>
      <c r="C58" s="69"/>
      <c r="D58" s="69"/>
      <c r="E58" s="56"/>
      <c r="F58" s="51">
        <v>0</v>
      </c>
      <c r="G58" s="51">
        <v>0</v>
      </c>
      <c r="H58" s="59" t="s">
        <v>29</v>
      </c>
      <c r="I58" s="55">
        <f t="shared" si="17"/>
        <v>0</v>
      </c>
    </row>
    <row r="59" spans="1:9" ht="17.25" customHeight="1" x14ac:dyDescent="0.25">
      <c r="A59" s="68" t="s">
        <v>17</v>
      </c>
      <c r="B59" s="69"/>
      <c r="C59" s="69"/>
      <c r="D59" s="69"/>
      <c r="E59" s="56"/>
      <c r="F59" s="51">
        <v>70000</v>
      </c>
      <c r="G59" s="51">
        <v>35000</v>
      </c>
      <c r="H59" s="55">
        <v>90000</v>
      </c>
      <c r="I59" s="55">
        <f t="shared" si="17"/>
        <v>195000</v>
      </c>
    </row>
    <row r="60" spans="1:9" ht="17.25" customHeight="1" x14ac:dyDescent="0.25">
      <c r="A60" s="68" t="s">
        <v>18</v>
      </c>
      <c r="B60" s="69"/>
      <c r="C60" s="69"/>
      <c r="D60" s="69"/>
      <c r="E60" s="56"/>
      <c r="F60" s="51">
        <v>29192.1</v>
      </c>
      <c r="G60" s="51">
        <v>0</v>
      </c>
      <c r="H60" s="55" t="s">
        <v>29</v>
      </c>
      <c r="I60" s="55">
        <f t="shared" si="17"/>
        <v>29192.1</v>
      </c>
    </row>
    <row r="61" spans="1:9" ht="17.25" customHeight="1" x14ac:dyDescent="0.25">
      <c r="A61" s="75" t="s">
        <v>19</v>
      </c>
      <c r="B61" s="76"/>
      <c r="C61" s="76"/>
      <c r="D61" s="76"/>
      <c r="E61" s="15"/>
      <c r="F61" s="20">
        <f>SUM(F62:F64)</f>
        <v>40696</v>
      </c>
      <c r="G61" s="20">
        <f t="shared" ref="G61:I61" si="18">SUM(G62:G64)</f>
        <v>10000</v>
      </c>
      <c r="H61" s="20">
        <f t="shared" si="18"/>
        <v>25000</v>
      </c>
      <c r="I61" s="20">
        <f t="shared" si="18"/>
        <v>75696</v>
      </c>
    </row>
    <row r="62" spans="1:9" ht="17.25" customHeight="1" x14ac:dyDescent="0.25">
      <c r="A62" s="68" t="s">
        <v>20</v>
      </c>
      <c r="B62" s="69"/>
      <c r="C62" s="69"/>
      <c r="D62" s="69"/>
      <c r="E62" s="16"/>
      <c r="F62" s="51">
        <v>26320</v>
      </c>
      <c r="G62" s="51">
        <v>0</v>
      </c>
      <c r="H62" s="4">
        <v>10000</v>
      </c>
      <c r="I62" s="4">
        <f>SUM(F62:H62)</f>
        <v>36320</v>
      </c>
    </row>
    <row r="63" spans="1:9" ht="17.25" customHeight="1" x14ac:dyDescent="0.25">
      <c r="A63" s="68" t="s">
        <v>21</v>
      </c>
      <c r="B63" s="69"/>
      <c r="C63" s="69"/>
      <c r="D63" s="69"/>
      <c r="E63" s="16"/>
      <c r="F63" s="51">
        <v>14376</v>
      </c>
      <c r="G63" s="51">
        <v>10000</v>
      </c>
      <c r="H63" s="4">
        <v>10000</v>
      </c>
      <c r="I63" s="4">
        <f t="shared" ref="I63:I64" si="19">SUM(F63:H63)</f>
        <v>34376</v>
      </c>
    </row>
    <row r="64" spans="1:9" ht="17.25" customHeight="1" x14ac:dyDescent="0.25">
      <c r="A64" s="68" t="s">
        <v>22</v>
      </c>
      <c r="B64" s="69"/>
      <c r="C64" s="69"/>
      <c r="D64" s="69"/>
      <c r="E64" s="17"/>
      <c r="F64" s="51">
        <v>0</v>
      </c>
      <c r="G64" s="51">
        <v>0</v>
      </c>
      <c r="H64" s="9">
        <v>5000</v>
      </c>
      <c r="I64" s="4">
        <f t="shared" si="19"/>
        <v>5000</v>
      </c>
    </row>
    <row r="65" spans="1:9" x14ac:dyDescent="0.25">
      <c r="A65" s="72" t="s">
        <v>23</v>
      </c>
      <c r="B65" s="72"/>
      <c r="C65" s="72"/>
      <c r="D65" s="72"/>
      <c r="E65" s="10"/>
      <c r="F65" s="10">
        <f>SUM(F49+F55+F61)</f>
        <v>350485.49</v>
      </c>
      <c r="G65" s="10">
        <f t="shared" ref="G65:I65" si="20">SUM(G49+G55+G61)</f>
        <v>265000</v>
      </c>
      <c r="H65" s="10">
        <f t="shared" si="20"/>
        <v>268940</v>
      </c>
      <c r="I65" s="10">
        <f t="shared" si="20"/>
        <v>884425.49</v>
      </c>
    </row>
    <row r="66" spans="1:9" x14ac:dyDescent="0.25">
      <c r="A66" s="72" t="s">
        <v>24</v>
      </c>
      <c r="B66" s="72"/>
      <c r="C66" s="72"/>
      <c r="D66" s="72"/>
      <c r="E66" s="10"/>
      <c r="F66" s="10">
        <f>F65*0.07</f>
        <v>24533.9843</v>
      </c>
      <c r="G66" s="10">
        <f t="shared" ref="G66:I66" si="21">G65*0.07</f>
        <v>18550</v>
      </c>
      <c r="H66" s="10">
        <f t="shared" si="21"/>
        <v>18825.800000000003</v>
      </c>
      <c r="I66" s="10">
        <f t="shared" si="21"/>
        <v>61909.784300000007</v>
      </c>
    </row>
    <row r="67" spans="1:9" x14ac:dyDescent="0.25">
      <c r="A67" s="72" t="s">
        <v>25</v>
      </c>
      <c r="B67" s="72"/>
      <c r="C67" s="72"/>
      <c r="D67" s="72"/>
      <c r="E67" s="10"/>
      <c r="F67" s="10">
        <f>SUM(F65:F66)</f>
        <v>375019.4743</v>
      </c>
      <c r="G67" s="10">
        <f t="shared" ref="G67:I67" si="22">SUM(G65:G66)</f>
        <v>283550</v>
      </c>
      <c r="H67" s="10">
        <f t="shared" si="22"/>
        <v>287765.8</v>
      </c>
      <c r="I67" s="10">
        <f t="shared" si="22"/>
        <v>946335.27430000005</v>
      </c>
    </row>
    <row r="70" spans="1:9" x14ac:dyDescent="0.25">
      <c r="A70" s="66" t="s">
        <v>30</v>
      </c>
      <c r="B70" s="66"/>
      <c r="C70" s="66"/>
      <c r="D70" s="66"/>
      <c r="E70" s="66"/>
      <c r="F70" s="66"/>
      <c r="G70" s="66"/>
      <c r="H70" s="66"/>
      <c r="I70" s="66"/>
    </row>
    <row r="71" spans="1:9" ht="30" x14ac:dyDescent="0.25">
      <c r="A71" s="66" t="s">
        <v>1</v>
      </c>
      <c r="B71" s="66"/>
      <c r="C71" s="66"/>
      <c r="D71" s="66"/>
      <c r="E71" s="63" t="s">
        <v>2</v>
      </c>
      <c r="F71" s="63" t="s">
        <v>3</v>
      </c>
      <c r="G71" s="63" t="s">
        <v>4</v>
      </c>
      <c r="H71" s="63" t="s">
        <v>5</v>
      </c>
      <c r="I71" s="63" t="s">
        <v>6</v>
      </c>
    </row>
    <row r="72" spans="1:9" ht="32.25" customHeight="1" x14ac:dyDescent="0.25">
      <c r="A72" s="73" t="s">
        <v>7</v>
      </c>
      <c r="B72" s="74"/>
      <c r="C72" s="74"/>
      <c r="D72" s="74"/>
      <c r="E72" s="21"/>
      <c r="F72" s="11">
        <f>SUM(F73:F77)</f>
        <v>200101.59999999998</v>
      </c>
      <c r="G72" s="11">
        <f t="shared" ref="G72:I72" si="23">SUM(G73:G77)</f>
        <v>300500</v>
      </c>
      <c r="H72" s="11">
        <f t="shared" si="23"/>
        <v>231400</v>
      </c>
      <c r="I72" s="11">
        <f t="shared" si="23"/>
        <v>732001.60000000009</v>
      </c>
    </row>
    <row r="73" spans="1:9" ht="18" customHeight="1" x14ac:dyDescent="0.25">
      <c r="A73" s="68" t="s">
        <v>8</v>
      </c>
      <c r="B73" s="69"/>
      <c r="C73" s="69"/>
      <c r="D73" s="69"/>
      <c r="E73" s="56"/>
      <c r="F73" s="55">
        <v>0</v>
      </c>
      <c r="G73" s="55">
        <v>105000</v>
      </c>
      <c r="H73" s="55">
        <v>106400</v>
      </c>
      <c r="I73" s="55">
        <f>SUM(F73:H73)</f>
        <v>211400</v>
      </c>
    </row>
    <row r="74" spans="1:9" ht="18" customHeight="1" x14ac:dyDescent="0.25">
      <c r="A74" s="68" t="s">
        <v>9</v>
      </c>
      <c r="B74" s="69"/>
      <c r="C74" s="69"/>
      <c r="D74" s="69"/>
      <c r="E74" s="56"/>
      <c r="F74" s="55">
        <v>86582</v>
      </c>
      <c r="G74" s="55">
        <v>70500</v>
      </c>
      <c r="H74" s="55">
        <v>10000</v>
      </c>
      <c r="I74" s="55">
        <f t="shared" ref="I74:I77" si="24">SUM(F74:H74)</f>
        <v>167082</v>
      </c>
    </row>
    <row r="75" spans="1:9" ht="18" customHeight="1" x14ac:dyDescent="0.25">
      <c r="A75" s="68" t="s">
        <v>10</v>
      </c>
      <c r="B75" s="69"/>
      <c r="C75" s="69"/>
      <c r="D75" s="69"/>
      <c r="E75" s="56"/>
      <c r="F75" s="55">
        <v>56759.8</v>
      </c>
      <c r="G75" s="55">
        <v>0</v>
      </c>
      <c r="H75" s="55">
        <v>5000</v>
      </c>
      <c r="I75" s="55">
        <f t="shared" si="24"/>
        <v>61759.8</v>
      </c>
    </row>
    <row r="76" spans="1:9" ht="18" customHeight="1" x14ac:dyDescent="0.25">
      <c r="A76" s="68" t="s">
        <v>11</v>
      </c>
      <c r="B76" s="69"/>
      <c r="C76" s="69"/>
      <c r="D76" s="69"/>
      <c r="E76" s="56"/>
      <c r="F76" s="55">
        <v>0</v>
      </c>
      <c r="G76" s="55">
        <v>110000</v>
      </c>
      <c r="H76" s="55">
        <v>60000</v>
      </c>
      <c r="I76" s="55">
        <f t="shared" si="24"/>
        <v>170000</v>
      </c>
    </row>
    <row r="77" spans="1:9" ht="18" customHeight="1" x14ac:dyDescent="0.25">
      <c r="A77" s="68" t="s">
        <v>12</v>
      </c>
      <c r="B77" s="69"/>
      <c r="C77" s="69"/>
      <c r="D77" s="69"/>
      <c r="E77" s="56"/>
      <c r="F77" s="55">
        <v>56759.8</v>
      </c>
      <c r="G77" s="55">
        <v>15000</v>
      </c>
      <c r="H77" s="55">
        <v>50000</v>
      </c>
      <c r="I77" s="55">
        <f t="shared" si="24"/>
        <v>121759.8</v>
      </c>
    </row>
    <row r="78" spans="1:9" ht="18" customHeight="1" x14ac:dyDescent="0.25">
      <c r="A78" s="70" t="s">
        <v>13</v>
      </c>
      <c r="B78" s="71"/>
      <c r="C78" s="71"/>
      <c r="D78" s="71"/>
      <c r="E78" s="22"/>
      <c r="F78" s="7">
        <f>SUM(F79:F83)</f>
        <v>52380</v>
      </c>
      <c r="G78" s="7">
        <f t="shared" ref="G78:I78" si="25">SUM(G79:G83)</f>
        <v>191500</v>
      </c>
      <c r="H78" s="7">
        <f t="shared" si="25"/>
        <v>122500</v>
      </c>
      <c r="I78" s="7">
        <f t="shared" si="25"/>
        <v>366380</v>
      </c>
    </row>
    <row r="79" spans="1:9" ht="18" customHeight="1" x14ac:dyDescent="0.25">
      <c r="A79" s="68" t="s">
        <v>14</v>
      </c>
      <c r="B79" s="69"/>
      <c r="C79" s="69"/>
      <c r="D79" s="69"/>
      <c r="E79" s="56"/>
      <c r="F79" s="55">
        <v>11750</v>
      </c>
      <c r="G79" s="55">
        <v>39000</v>
      </c>
      <c r="H79" s="55">
        <v>10000</v>
      </c>
      <c r="I79" s="55">
        <f>SUM(F79:H79)</f>
        <v>60750</v>
      </c>
    </row>
    <row r="80" spans="1:9" ht="18" customHeight="1" x14ac:dyDescent="0.25">
      <c r="A80" s="68" t="s">
        <v>27</v>
      </c>
      <c r="B80" s="69"/>
      <c r="C80" s="69"/>
      <c r="D80" s="69"/>
      <c r="E80" s="56"/>
      <c r="F80" s="55">
        <v>25380</v>
      </c>
      <c r="G80" s="55">
        <v>0</v>
      </c>
      <c r="H80" s="55">
        <v>10000</v>
      </c>
      <c r="I80" s="55">
        <f t="shared" ref="I80:I83" si="26">SUM(F80:H80)</f>
        <v>35380</v>
      </c>
    </row>
    <row r="81" spans="1:9" ht="18" customHeight="1" x14ac:dyDescent="0.25">
      <c r="A81" s="68" t="s">
        <v>16</v>
      </c>
      <c r="B81" s="69"/>
      <c r="C81" s="69"/>
      <c r="D81" s="69"/>
      <c r="E81" s="56"/>
      <c r="F81" s="55">
        <v>0</v>
      </c>
      <c r="G81" s="55">
        <v>0</v>
      </c>
      <c r="H81" s="55">
        <v>5000</v>
      </c>
      <c r="I81" s="55">
        <f t="shared" si="26"/>
        <v>5000</v>
      </c>
    </row>
    <row r="82" spans="1:9" ht="18" customHeight="1" x14ac:dyDescent="0.25">
      <c r="A82" s="68" t="s">
        <v>17</v>
      </c>
      <c r="B82" s="69"/>
      <c r="C82" s="69"/>
      <c r="D82" s="69"/>
      <c r="E82" s="56"/>
      <c r="F82" s="55">
        <v>0</v>
      </c>
      <c r="G82" s="55">
        <v>152500</v>
      </c>
      <c r="H82" s="55">
        <v>67500</v>
      </c>
      <c r="I82" s="55">
        <f t="shared" si="26"/>
        <v>220000</v>
      </c>
    </row>
    <row r="83" spans="1:9" ht="18" customHeight="1" x14ac:dyDescent="0.25">
      <c r="A83" s="68" t="s">
        <v>18</v>
      </c>
      <c r="B83" s="69"/>
      <c r="C83" s="69"/>
      <c r="D83" s="69"/>
      <c r="E83" s="56"/>
      <c r="F83" s="55">
        <v>15250</v>
      </c>
      <c r="G83" s="55">
        <v>0</v>
      </c>
      <c r="H83" s="55">
        <v>30000</v>
      </c>
      <c r="I83" s="55">
        <f t="shared" si="26"/>
        <v>45250</v>
      </c>
    </row>
    <row r="84" spans="1:9" ht="18" customHeight="1" x14ac:dyDescent="0.25">
      <c r="A84" s="70" t="s">
        <v>19</v>
      </c>
      <c r="B84" s="71"/>
      <c r="C84" s="71"/>
      <c r="D84" s="71"/>
      <c r="E84" s="23"/>
      <c r="F84" s="24">
        <f>SUM(F85:F87)</f>
        <v>40650</v>
      </c>
      <c r="G84" s="24">
        <f t="shared" ref="G84:I84" si="27">SUM(G85:G87)</f>
        <v>50000</v>
      </c>
      <c r="H84" s="24">
        <f t="shared" si="27"/>
        <v>30000</v>
      </c>
      <c r="I84" s="24">
        <f t="shared" si="27"/>
        <v>120650</v>
      </c>
    </row>
    <row r="85" spans="1:9" ht="18" customHeight="1" x14ac:dyDescent="0.25">
      <c r="A85" s="68" t="s">
        <v>20</v>
      </c>
      <c r="B85" s="69"/>
      <c r="C85" s="69"/>
      <c r="D85" s="69"/>
      <c r="E85" s="16"/>
      <c r="F85" s="4">
        <v>11450</v>
      </c>
      <c r="G85" s="52">
        <v>25000</v>
      </c>
      <c r="H85" s="4">
        <v>10000</v>
      </c>
      <c r="I85" s="4">
        <f>SUM(F85:H85)</f>
        <v>46450</v>
      </c>
    </row>
    <row r="86" spans="1:9" ht="18" customHeight="1" x14ac:dyDescent="0.25">
      <c r="A86" s="68" t="s">
        <v>21</v>
      </c>
      <c r="B86" s="69"/>
      <c r="C86" s="69"/>
      <c r="D86" s="69"/>
      <c r="E86" s="16"/>
      <c r="F86" s="4">
        <v>29200</v>
      </c>
      <c r="G86" s="52">
        <v>25000</v>
      </c>
      <c r="H86" s="4">
        <v>15000</v>
      </c>
      <c r="I86" s="4">
        <f t="shared" ref="I86:I87" si="28">SUM(F86:H86)</f>
        <v>69200</v>
      </c>
    </row>
    <row r="87" spans="1:9" ht="18" customHeight="1" x14ac:dyDescent="0.25">
      <c r="A87" s="68" t="s">
        <v>22</v>
      </c>
      <c r="B87" s="69"/>
      <c r="C87" s="69"/>
      <c r="D87" s="69"/>
      <c r="E87" s="17"/>
      <c r="F87" s="9">
        <v>0</v>
      </c>
      <c r="G87" s="9">
        <v>0</v>
      </c>
      <c r="H87" s="9">
        <v>5000</v>
      </c>
      <c r="I87" s="4">
        <f t="shared" si="28"/>
        <v>5000</v>
      </c>
    </row>
    <row r="88" spans="1:9" x14ac:dyDescent="0.25">
      <c r="A88" s="66" t="s">
        <v>23</v>
      </c>
      <c r="B88" s="66"/>
      <c r="C88" s="66"/>
      <c r="D88" s="66"/>
      <c r="E88" s="12"/>
      <c r="F88" s="12">
        <f>SUM(F72+F78+F84)</f>
        <v>293131.59999999998</v>
      </c>
      <c r="G88" s="12">
        <f>SUM(G72+G78+G84)</f>
        <v>542000</v>
      </c>
      <c r="H88" s="12">
        <f>SUM(H72+H78+H84)</f>
        <v>383900</v>
      </c>
      <c r="I88" s="12">
        <f>SUM(F88:H88)</f>
        <v>1219031.6000000001</v>
      </c>
    </row>
    <row r="89" spans="1:9" x14ac:dyDescent="0.25">
      <c r="A89" s="66" t="s">
        <v>24</v>
      </c>
      <c r="B89" s="66"/>
      <c r="C89" s="66"/>
      <c r="D89" s="66"/>
      <c r="E89" s="12"/>
      <c r="F89" s="12">
        <f>F88*0.07</f>
        <v>20519.212</v>
      </c>
      <c r="G89" s="12">
        <f t="shared" ref="G89:I89" si="29">G88*0.07</f>
        <v>37940</v>
      </c>
      <c r="H89" s="12">
        <f t="shared" si="29"/>
        <v>26873.000000000004</v>
      </c>
      <c r="I89" s="12">
        <f t="shared" si="29"/>
        <v>85332.212000000014</v>
      </c>
    </row>
    <row r="90" spans="1:9" x14ac:dyDescent="0.25">
      <c r="A90" s="66" t="s">
        <v>25</v>
      </c>
      <c r="B90" s="66"/>
      <c r="C90" s="66"/>
      <c r="D90" s="66"/>
      <c r="E90" s="12"/>
      <c r="F90" s="12">
        <f>SUM(F88:F89)</f>
        <v>313650.81199999998</v>
      </c>
      <c r="G90" s="12">
        <f t="shared" ref="G90:I90" si="30">SUM(G88:G89)</f>
        <v>579940</v>
      </c>
      <c r="H90" s="12">
        <f t="shared" si="30"/>
        <v>410773</v>
      </c>
      <c r="I90" s="12">
        <f t="shared" si="30"/>
        <v>1304363.8120000002</v>
      </c>
    </row>
    <row r="92" spans="1:9" ht="30" x14ac:dyDescent="0.25">
      <c r="A92" s="25"/>
      <c r="B92" s="25"/>
      <c r="C92" s="25"/>
      <c r="D92" s="25" t="s">
        <v>31</v>
      </c>
      <c r="E92" s="12" t="s">
        <v>32</v>
      </c>
      <c r="F92" s="12" t="s">
        <v>3</v>
      </c>
      <c r="G92" s="12" t="s">
        <v>4</v>
      </c>
      <c r="H92" s="12" t="s">
        <v>5</v>
      </c>
      <c r="I92" s="12" t="s">
        <v>25</v>
      </c>
    </row>
    <row r="93" spans="1:9" ht="15" customHeight="1" x14ac:dyDescent="0.25">
      <c r="A93" s="67" t="s">
        <v>23</v>
      </c>
      <c r="B93" s="67"/>
      <c r="C93" s="67"/>
      <c r="D93" s="67"/>
      <c r="E93" s="3">
        <f>E19</f>
        <v>602687.89250000007</v>
      </c>
      <c r="F93" s="3">
        <f>F19+F42+F65+F88</f>
        <v>1283557.48</v>
      </c>
      <c r="G93" s="3">
        <f>G19+G42+G65+G88</f>
        <v>1591500</v>
      </c>
      <c r="H93" s="3">
        <f>H19+H42+H65+H88</f>
        <v>1432640</v>
      </c>
      <c r="I93" s="3">
        <f>I19+I42+I65+I88</f>
        <v>4910385.3725000005</v>
      </c>
    </row>
    <row r="94" spans="1:9" ht="15" customHeight="1" x14ac:dyDescent="0.25">
      <c r="A94" s="67" t="s">
        <v>24</v>
      </c>
      <c r="B94" s="67"/>
      <c r="C94" s="67"/>
      <c r="D94" s="67"/>
      <c r="E94" s="3">
        <f t="shared" ref="E94:E95" si="31">E20</f>
        <v>42188.15247500001</v>
      </c>
      <c r="F94" s="3">
        <f>F20+F43+F66+F89</f>
        <v>89849.0236</v>
      </c>
      <c r="G94" s="3">
        <f t="shared" ref="F94:I95" si="32">G20+G43+G66+G89</f>
        <v>111405</v>
      </c>
      <c r="H94" s="3">
        <f t="shared" si="32"/>
        <v>100284.80000000002</v>
      </c>
      <c r="I94" s="3">
        <f t="shared" si="32"/>
        <v>343726.97607500007</v>
      </c>
    </row>
    <row r="95" spans="1:9" x14ac:dyDescent="0.25">
      <c r="A95" s="66" t="s">
        <v>25</v>
      </c>
      <c r="B95" s="66"/>
      <c r="C95" s="66"/>
      <c r="D95" s="66"/>
      <c r="E95" s="12">
        <f t="shared" si="31"/>
        <v>644876.04497500008</v>
      </c>
      <c r="F95" s="12">
        <f t="shared" si="32"/>
        <v>1373406.5035999999</v>
      </c>
      <c r="G95" s="12">
        <f>G21+G44+G67+G90</f>
        <v>1702905</v>
      </c>
      <c r="H95" s="12">
        <f>H21+H44+H67+H90</f>
        <v>1532924.8</v>
      </c>
      <c r="I95" s="12">
        <f>I21+I44+I67+I90</f>
        <v>5254112.3485750007</v>
      </c>
    </row>
    <row r="96" spans="1:9" x14ac:dyDescent="0.25">
      <c r="F96" s="3">
        <f>SUM(E95:F95)</f>
        <v>2018282.5485749999</v>
      </c>
    </row>
    <row r="97" spans="6:6" x14ac:dyDescent="0.25">
      <c r="F97" s="3"/>
    </row>
  </sheetData>
  <mergeCells count="87">
    <mergeCell ref="A3:D3"/>
    <mergeCell ref="A4:D4"/>
    <mergeCell ref="A5:D5"/>
    <mergeCell ref="A6:D6"/>
    <mergeCell ref="A7:D7"/>
    <mergeCell ref="A20:D20"/>
    <mergeCell ref="A21:D21"/>
    <mergeCell ref="A1:I1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A2:D2"/>
    <mergeCell ref="A35:D35"/>
    <mergeCell ref="A24:I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49:D49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7:I47"/>
    <mergeCell ref="A48:D48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75:D75"/>
    <mergeCell ref="A62:D62"/>
    <mergeCell ref="A63:D63"/>
    <mergeCell ref="A64:D64"/>
    <mergeCell ref="A65:D65"/>
    <mergeCell ref="A66:D66"/>
    <mergeCell ref="A67:D67"/>
    <mergeCell ref="A70:I70"/>
    <mergeCell ref="A71:D71"/>
    <mergeCell ref="A72:D72"/>
    <mergeCell ref="A73:D73"/>
    <mergeCell ref="A74:D74"/>
    <mergeCell ref="A87:D87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8:D88"/>
    <mergeCell ref="A89:D89"/>
    <mergeCell ref="A90:D90"/>
    <mergeCell ref="A95:D95"/>
    <mergeCell ref="A94:D94"/>
    <mergeCell ref="A93:D93"/>
  </mergeCell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8C186-C376-4A68-9836-02BCB5A77EFA}">
  <dimension ref="A1:P73"/>
  <sheetViews>
    <sheetView zoomScale="90" zoomScaleNormal="90" workbookViewId="0">
      <selection activeCell="E7" sqref="E7"/>
    </sheetView>
  </sheetViews>
  <sheetFormatPr defaultRowHeight="15" x14ac:dyDescent="0.25"/>
  <cols>
    <col min="1" max="1" width="21" customWidth="1"/>
    <col min="2" max="10" width="13" customWidth="1"/>
    <col min="12" max="12" width="10.5703125" bestFit="1" customWidth="1"/>
    <col min="13" max="13" width="13.28515625" customWidth="1"/>
    <col min="14" max="15" width="12" bestFit="1" customWidth="1"/>
    <col min="16" max="16" width="13.85546875" customWidth="1"/>
  </cols>
  <sheetData>
    <row r="1" spans="1:16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6" x14ac:dyDescent="0.25">
      <c r="A2" s="94" t="s">
        <v>33</v>
      </c>
      <c r="B2" s="94" t="s">
        <v>34</v>
      </c>
      <c r="C2" s="94"/>
      <c r="D2" s="94" t="s">
        <v>4</v>
      </c>
      <c r="E2" s="94"/>
      <c r="F2" s="94" t="s">
        <v>35</v>
      </c>
      <c r="G2" s="94"/>
      <c r="H2" s="95" t="s">
        <v>36</v>
      </c>
      <c r="I2" s="95" t="s">
        <v>37</v>
      </c>
      <c r="J2" s="94" t="s">
        <v>38</v>
      </c>
    </row>
    <row r="3" spans="1:16" ht="25.5" x14ac:dyDescent="0.25">
      <c r="A3" s="94"/>
      <c r="B3" s="65" t="s">
        <v>39</v>
      </c>
      <c r="C3" s="65" t="s">
        <v>40</v>
      </c>
      <c r="D3" s="65" t="s">
        <v>39</v>
      </c>
      <c r="E3" s="65" t="s">
        <v>40</v>
      </c>
      <c r="F3" s="65" t="s">
        <v>39</v>
      </c>
      <c r="G3" s="65" t="s">
        <v>40</v>
      </c>
      <c r="H3" s="96"/>
      <c r="I3" s="96"/>
      <c r="J3" s="94"/>
      <c r="M3" t="s">
        <v>3</v>
      </c>
      <c r="N3" t="s">
        <v>4</v>
      </c>
      <c r="O3" t="s">
        <v>5</v>
      </c>
    </row>
    <row r="4" spans="1:16" ht="31.5" customHeight="1" x14ac:dyDescent="0.25">
      <c r="A4" s="40" t="s">
        <v>41</v>
      </c>
      <c r="B4" s="57">
        <v>53085.970000000008</v>
      </c>
      <c r="C4" s="58">
        <v>22751.130000000005</v>
      </c>
      <c r="D4" s="58">
        <v>49700</v>
      </c>
      <c r="E4" s="58">
        <v>21300</v>
      </c>
      <c r="F4" s="58">
        <v>62229.999999999993</v>
      </c>
      <c r="G4" s="58">
        <v>26670</v>
      </c>
      <c r="H4" s="58">
        <f>B4+D4+F4</f>
        <v>165015.97</v>
      </c>
      <c r="I4" s="58">
        <f>SUM(C4+E4+G4)</f>
        <v>70721.13</v>
      </c>
      <c r="J4" s="58">
        <f>SUM(H4:I4)</f>
        <v>235737.1</v>
      </c>
      <c r="M4" s="3">
        <f>B4+B34+B49</f>
        <v>80603.670000000013</v>
      </c>
      <c r="N4" s="3">
        <f>D4+D34+D49</f>
        <v>154700</v>
      </c>
      <c r="O4" s="3">
        <f>F4+F34+F49</f>
        <v>152838</v>
      </c>
      <c r="P4" s="3">
        <f>SUM(M4:O4)</f>
        <v>388141.67000000004</v>
      </c>
    </row>
    <row r="5" spans="1:16" ht="31.5" customHeight="1" x14ac:dyDescent="0.25">
      <c r="A5" s="40" t="s">
        <v>42</v>
      </c>
      <c r="B5" s="57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f t="shared" ref="H5:H10" si="0">B5+D5+F5</f>
        <v>0</v>
      </c>
      <c r="I5" s="58">
        <f t="shared" ref="I5:I10" si="1">SUM(C5+E5+G5)</f>
        <v>0</v>
      </c>
      <c r="J5" s="58">
        <f t="shared" ref="J5:J10" si="2">SUM(H5:I5)</f>
        <v>0</v>
      </c>
      <c r="M5" s="3">
        <f t="shared" ref="M5:M13" si="3">B5+B35+B50</f>
        <v>4345.25</v>
      </c>
      <c r="N5" s="3">
        <f t="shared" ref="N5:N13" si="4">D5+D35+D50</f>
        <v>4550</v>
      </c>
      <c r="O5" s="3">
        <f t="shared" ref="O5:O13" si="5">F5+F35+F50</f>
        <v>0</v>
      </c>
      <c r="P5" s="3">
        <f t="shared" ref="P5:P13" si="6">SUM(M5:O5)</f>
        <v>8895.25</v>
      </c>
    </row>
    <row r="6" spans="1:16" ht="54" customHeight="1" x14ac:dyDescent="0.25">
      <c r="A6" s="40" t="s">
        <v>43</v>
      </c>
      <c r="B6" s="57">
        <v>0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f t="shared" si="0"/>
        <v>0</v>
      </c>
      <c r="I6" s="58">
        <f t="shared" si="1"/>
        <v>0</v>
      </c>
      <c r="J6" s="58">
        <f t="shared" si="2"/>
        <v>0</v>
      </c>
      <c r="M6" s="3">
        <f t="shared" si="3"/>
        <v>0</v>
      </c>
      <c r="N6" s="3">
        <f t="shared" si="4"/>
        <v>0</v>
      </c>
      <c r="O6" s="3">
        <f t="shared" si="5"/>
        <v>0</v>
      </c>
      <c r="P6" s="3">
        <f t="shared" si="6"/>
        <v>0</v>
      </c>
    </row>
    <row r="7" spans="1:16" ht="31.5" customHeight="1" x14ac:dyDescent="0.25">
      <c r="A7" s="40" t="s">
        <v>44</v>
      </c>
      <c r="B7" s="57">
        <v>486044.42774999997</v>
      </c>
      <c r="C7" s="58">
        <v>208304.75474999999</v>
      </c>
      <c r="D7" s="58">
        <v>91000</v>
      </c>
      <c r="E7" s="58">
        <v>39000</v>
      </c>
      <c r="F7" s="58">
        <v>196350</v>
      </c>
      <c r="G7" s="58">
        <v>84150</v>
      </c>
      <c r="H7" s="58">
        <f t="shared" si="0"/>
        <v>773394.42775000003</v>
      </c>
      <c r="I7" s="58">
        <f t="shared" si="1"/>
        <v>331454.75474999996</v>
      </c>
      <c r="J7" s="58">
        <f t="shared" si="2"/>
        <v>1104849.1825000001</v>
      </c>
      <c r="M7" s="3">
        <f t="shared" si="3"/>
        <v>695966.72074999998</v>
      </c>
      <c r="N7" s="3">
        <f t="shared" si="4"/>
        <v>315350</v>
      </c>
      <c r="O7" s="3">
        <f t="shared" si="5"/>
        <v>525000</v>
      </c>
      <c r="P7" s="3">
        <f t="shared" si="6"/>
        <v>1536316.7207499999</v>
      </c>
    </row>
    <row r="8" spans="1:16" ht="31.5" customHeight="1" x14ac:dyDescent="0.25">
      <c r="A8" s="40" t="s">
        <v>45</v>
      </c>
      <c r="B8" s="57">
        <v>24850</v>
      </c>
      <c r="C8" s="58">
        <v>10650</v>
      </c>
      <c r="D8" s="58">
        <v>9100</v>
      </c>
      <c r="E8" s="58">
        <v>3900</v>
      </c>
      <c r="F8" s="58">
        <v>4200</v>
      </c>
      <c r="G8" s="58">
        <v>1800</v>
      </c>
      <c r="H8" s="58">
        <f t="shared" si="0"/>
        <v>38150</v>
      </c>
      <c r="I8" s="58">
        <f t="shared" si="1"/>
        <v>16350</v>
      </c>
      <c r="J8" s="58">
        <f t="shared" si="2"/>
        <v>54500</v>
      </c>
      <c r="M8" s="3">
        <f t="shared" si="3"/>
        <v>74823</v>
      </c>
      <c r="N8" s="3">
        <f t="shared" si="4"/>
        <v>16450</v>
      </c>
      <c r="O8" s="3">
        <f t="shared" si="5"/>
        <v>11200</v>
      </c>
      <c r="P8" s="3">
        <f t="shared" si="6"/>
        <v>102473</v>
      </c>
    </row>
    <row r="9" spans="1:16" ht="31.5" customHeight="1" x14ac:dyDescent="0.25">
      <c r="A9" s="40" t="s">
        <v>46</v>
      </c>
      <c r="B9" s="57">
        <v>105000</v>
      </c>
      <c r="C9" s="58">
        <v>45000</v>
      </c>
      <c r="D9" s="58">
        <v>126699.99999999999</v>
      </c>
      <c r="E9" s="58">
        <v>54300</v>
      </c>
      <c r="F9" s="58">
        <v>0</v>
      </c>
      <c r="G9" s="58">
        <v>0</v>
      </c>
      <c r="H9" s="58">
        <f t="shared" si="0"/>
        <v>231700</v>
      </c>
      <c r="I9" s="58">
        <f t="shared" si="1"/>
        <v>99300</v>
      </c>
      <c r="J9" s="58">
        <f t="shared" si="2"/>
        <v>331000</v>
      </c>
      <c r="M9" s="3">
        <f t="shared" si="3"/>
        <v>160930</v>
      </c>
      <c r="N9" s="3">
        <f t="shared" si="4"/>
        <v>345450</v>
      </c>
      <c r="O9" s="3">
        <f t="shared" si="5"/>
        <v>0</v>
      </c>
      <c r="P9" s="3">
        <f t="shared" si="6"/>
        <v>506380</v>
      </c>
    </row>
    <row r="10" spans="1:16" ht="31.5" customHeight="1" x14ac:dyDescent="0.25">
      <c r="A10" s="40" t="s">
        <v>47</v>
      </c>
      <c r="B10" s="57">
        <v>27811</v>
      </c>
      <c r="C10" s="58">
        <v>11919</v>
      </c>
      <c r="D10" s="58">
        <v>7699.9999999999991</v>
      </c>
      <c r="E10" s="58">
        <v>3300</v>
      </c>
      <c r="F10" s="58">
        <v>21000</v>
      </c>
      <c r="G10" s="58">
        <v>9000</v>
      </c>
      <c r="H10" s="58">
        <f t="shared" si="0"/>
        <v>56511</v>
      </c>
      <c r="I10" s="58">
        <f t="shared" si="1"/>
        <v>24219</v>
      </c>
      <c r="J10" s="58">
        <f t="shared" si="2"/>
        <v>80730</v>
      </c>
      <c r="M10" s="3">
        <f t="shared" si="3"/>
        <v>130654.72</v>
      </c>
      <c r="N10" s="3">
        <f t="shared" si="4"/>
        <v>12600</v>
      </c>
      <c r="O10" s="3">
        <f t="shared" si="5"/>
        <v>51730</v>
      </c>
      <c r="P10" s="3">
        <f t="shared" si="6"/>
        <v>194984.72</v>
      </c>
    </row>
    <row r="11" spans="1:16" ht="31.5" customHeight="1" x14ac:dyDescent="0.25">
      <c r="A11" s="65" t="s">
        <v>23</v>
      </c>
      <c r="B11" s="41">
        <f>SUM(B4:B10)</f>
        <v>696791.39775</v>
      </c>
      <c r="C11" s="41">
        <f t="shared" ref="C11:I11" si="7">SUM(C4:C10)</f>
        <v>298624.88474999997</v>
      </c>
      <c r="D11" s="41">
        <f t="shared" si="7"/>
        <v>284200</v>
      </c>
      <c r="E11" s="41">
        <f t="shared" si="7"/>
        <v>121800</v>
      </c>
      <c r="F11" s="41">
        <f>SUM(F4:F10)</f>
        <v>283780</v>
      </c>
      <c r="G11" s="41">
        <f>SUM(G4:G10)</f>
        <v>121620</v>
      </c>
      <c r="H11" s="41">
        <f t="shared" si="7"/>
        <v>1264771.39775</v>
      </c>
      <c r="I11" s="41">
        <f t="shared" si="7"/>
        <v>542044.88474999997</v>
      </c>
      <c r="J11" s="41">
        <f>SUM(H11:I11)</f>
        <v>1806816.2825</v>
      </c>
      <c r="M11" s="3">
        <f>B11+B41+B56</f>
        <v>1147323.36075</v>
      </c>
      <c r="N11" s="3">
        <f t="shared" si="4"/>
        <v>849100</v>
      </c>
      <c r="O11" s="3">
        <f t="shared" si="5"/>
        <v>740768</v>
      </c>
      <c r="P11" s="3">
        <f t="shared" si="6"/>
        <v>2737191.36075</v>
      </c>
    </row>
    <row r="12" spans="1:16" ht="31.5" customHeight="1" x14ac:dyDescent="0.25">
      <c r="A12" s="40" t="s">
        <v>48</v>
      </c>
      <c r="B12" s="57">
        <f>B11*0.07</f>
        <v>48775.397842500002</v>
      </c>
      <c r="C12" s="57">
        <f>C11*0.07</f>
        <v>20903.741932500001</v>
      </c>
      <c r="D12" s="57">
        <f t="shared" ref="D12:J12" si="8">D11*0.07</f>
        <v>19894.000000000004</v>
      </c>
      <c r="E12" s="57">
        <f t="shared" si="8"/>
        <v>8526</v>
      </c>
      <c r="F12" s="57">
        <f t="shared" si="8"/>
        <v>19864.600000000002</v>
      </c>
      <c r="G12" s="57">
        <f t="shared" si="8"/>
        <v>8513.4000000000015</v>
      </c>
      <c r="H12" s="57">
        <f t="shared" si="8"/>
        <v>88533.997842500015</v>
      </c>
      <c r="I12" s="57">
        <f t="shared" si="8"/>
        <v>37943.141932500002</v>
      </c>
      <c r="J12" s="57">
        <f t="shared" si="8"/>
        <v>126477.139775</v>
      </c>
      <c r="M12" s="3">
        <f t="shared" si="3"/>
        <v>80312.635252500011</v>
      </c>
      <c r="N12" s="3">
        <f t="shared" si="4"/>
        <v>59437.000000000015</v>
      </c>
      <c r="O12" s="3">
        <f t="shared" si="5"/>
        <v>51853.760000000009</v>
      </c>
      <c r="P12" s="3">
        <f t="shared" si="6"/>
        <v>191603.39525250002</v>
      </c>
    </row>
    <row r="13" spans="1:16" ht="31.5" customHeight="1" x14ac:dyDescent="0.25">
      <c r="A13" s="65" t="s">
        <v>25</v>
      </c>
      <c r="B13" s="41">
        <f>SUM(B11:B12)</f>
        <v>745566.79559250001</v>
      </c>
      <c r="C13" s="41">
        <f t="shared" ref="C13:H13" si="9">SUM(C11:C12)</f>
        <v>319528.62668249995</v>
      </c>
      <c r="D13" s="41">
        <f t="shared" si="9"/>
        <v>304094</v>
      </c>
      <c r="E13" s="41">
        <f t="shared" si="9"/>
        <v>130326</v>
      </c>
      <c r="F13" s="41">
        <f t="shared" si="9"/>
        <v>303644.59999999998</v>
      </c>
      <c r="G13" s="41">
        <f t="shared" si="9"/>
        <v>130133.4</v>
      </c>
      <c r="H13" s="41">
        <f t="shared" si="9"/>
        <v>1353305.3955925</v>
      </c>
      <c r="I13" s="41">
        <f>SUM(I11:I12)</f>
        <v>579988.02668250003</v>
      </c>
      <c r="J13" s="41">
        <f>H13+I13</f>
        <v>1933293.422275</v>
      </c>
      <c r="M13" s="3">
        <f t="shared" si="3"/>
        <v>1227635.9960024999</v>
      </c>
      <c r="N13" s="3">
        <f t="shared" si="4"/>
        <v>908537</v>
      </c>
      <c r="O13" s="3">
        <f t="shared" si="5"/>
        <v>792621.76</v>
      </c>
      <c r="P13" s="3">
        <f t="shared" si="6"/>
        <v>2928794.7560024997</v>
      </c>
    </row>
    <row r="16" spans="1:16" x14ac:dyDescent="0.25">
      <c r="A16" s="93" t="s">
        <v>26</v>
      </c>
      <c r="B16" s="93"/>
      <c r="C16" s="93"/>
      <c r="D16" s="93"/>
      <c r="E16" s="93"/>
      <c r="F16" s="93"/>
      <c r="G16" s="93"/>
      <c r="H16" s="93"/>
      <c r="I16" s="93"/>
      <c r="J16" s="93"/>
    </row>
    <row r="17" spans="1:10" x14ac:dyDescent="0.25">
      <c r="A17" s="94" t="s">
        <v>33</v>
      </c>
      <c r="B17" s="94" t="s">
        <v>34</v>
      </c>
      <c r="C17" s="94"/>
      <c r="D17" s="94" t="s">
        <v>4</v>
      </c>
      <c r="E17" s="94"/>
      <c r="F17" s="94" t="s">
        <v>35</v>
      </c>
      <c r="G17" s="94"/>
      <c r="H17" s="95" t="s">
        <v>36</v>
      </c>
      <c r="I17" s="95" t="s">
        <v>37</v>
      </c>
      <c r="J17" s="94" t="s">
        <v>38</v>
      </c>
    </row>
    <row r="18" spans="1:10" ht="25.5" x14ac:dyDescent="0.25">
      <c r="A18" s="94"/>
      <c r="B18" s="65" t="s">
        <v>39</v>
      </c>
      <c r="C18" s="65" t="s">
        <v>40</v>
      </c>
      <c r="D18" s="65" t="s">
        <v>39</v>
      </c>
      <c r="E18" s="65" t="s">
        <v>40</v>
      </c>
      <c r="F18" s="65" t="s">
        <v>39</v>
      </c>
      <c r="G18" s="65" t="s">
        <v>40</v>
      </c>
      <c r="H18" s="96"/>
      <c r="I18" s="96"/>
      <c r="J18" s="94"/>
    </row>
    <row r="19" spans="1:10" ht="25.5" x14ac:dyDescent="0.25">
      <c r="A19" s="40" t="s">
        <v>41</v>
      </c>
      <c r="B19" s="57">
        <f>0*0.7</f>
        <v>0</v>
      </c>
      <c r="C19" s="57">
        <f>0*0.3</f>
        <v>0</v>
      </c>
      <c r="D19" s="58">
        <f>131500*0.7</f>
        <v>92050</v>
      </c>
      <c r="E19" s="58">
        <f>131500*0.3</f>
        <v>39450</v>
      </c>
      <c r="F19" s="58">
        <f>89400*0.7</f>
        <v>62579.999999999993</v>
      </c>
      <c r="G19" s="58">
        <f>89400*0.3</f>
        <v>26820</v>
      </c>
      <c r="H19" s="58">
        <f>B19+D19+F19</f>
        <v>154630</v>
      </c>
      <c r="I19" s="58">
        <f>C19+E19+G19</f>
        <v>66270</v>
      </c>
      <c r="J19" s="58">
        <f>H19+I19</f>
        <v>220900</v>
      </c>
    </row>
    <row r="20" spans="1:10" ht="25.5" x14ac:dyDescent="0.25">
      <c r="A20" s="40" t="s">
        <v>42</v>
      </c>
      <c r="B20" s="57">
        <f>0*0.7</f>
        <v>0</v>
      </c>
      <c r="C20" s="57">
        <f>0*0.3</f>
        <v>0</v>
      </c>
      <c r="D20" s="58">
        <f>5000*0.7</f>
        <v>3500</v>
      </c>
      <c r="E20" s="58">
        <f>5000*0.3</f>
        <v>1500</v>
      </c>
      <c r="F20" s="58">
        <f>0*0.7</f>
        <v>0</v>
      </c>
      <c r="G20" s="58">
        <f>0*0.3</f>
        <v>0</v>
      </c>
      <c r="H20" s="58">
        <f t="shared" ref="H20:H25" si="10">B20+D20+F20</f>
        <v>3500</v>
      </c>
      <c r="I20" s="58">
        <f t="shared" ref="I20:I25" si="11">C20+E20+G20</f>
        <v>1500</v>
      </c>
      <c r="J20" s="58">
        <f t="shared" ref="J20:J25" si="12">H20+I20</f>
        <v>5000</v>
      </c>
    </row>
    <row r="21" spans="1:10" ht="38.25" x14ac:dyDescent="0.25">
      <c r="A21" s="40" t="s">
        <v>43</v>
      </c>
      <c r="B21" s="57">
        <f>0*0.7</f>
        <v>0</v>
      </c>
      <c r="C21" s="57">
        <f>0*0.3</f>
        <v>0</v>
      </c>
      <c r="D21" s="58">
        <f>0*0.7</f>
        <v>0</v>
      </c>
      <c r="E21" s="58">
        <f>0*0.3</f>
        <v>0</v>
      </c>
      <c r="F21" s="58">
        <f>0*0.7</f>
        <v>0</v>
      </c>
      <c r="G21" s="58">
        <f>0*0.3</f>
        <v>0</v>
      </c>
      <c r="H21" s="58">
        <f t="shared" si="10"/>
        <v>0</v>
      </c>
      <c r="I21" s="58">
        <f t="shared" si="11"/>
        <v>0</v>
      </c>
      <c r="J21" s="58">
        <f t="shared" si="12"/>
        <v>0</v>
      </c>
    </row>
    <row r="22" spans="1:10" x14ac:dyDescent="0.25">
      <c r="A22" s="40" t="s">
        <v>44</v>
      </c>
      <c r="B22" s="57">
        <f>36500*0.7</f>
        <v>25550</v>
      </c>
      <c r="C22" s="57">
        <f>36500*0.3</f>
        <v>10950</v>
      </c>
      <c r="D22" s="58">
        <f>147500*0.7</f>
        <v>103250</v>
      </c>
      <c r="E22" s="58">
        <f>147500*0.3</f>
        <v>44250</v>
      </c>
      <c r="F22" s="58">
        <f>241000*0.7</f>
        <v>168700</v>
      </c>
      <c r="G22" s="58">
        <f>241000*0.3</f>
        <v>72300</v>
      </c>
      <c r="H22" s="58">
        <f t="shared" si="10"/>
        <v>297500</v>
      </c>
      <c r="I22" s="58">
        <f t="shared" si="11"/>
        <v>127500</v>
      </c>
      <c r="J22" s="58">
        <f t="shared" si="12"/>
        <v>425000</v>
      </c>
    </row>
    <row r="23" spans="1:10" x14ac:dyDescent="0.25">
      <c r="A23" s="40" t="s">
        <v>45</v>
      </c>
      <c r="B23" s="57">
        <f>13000*0.7</f>
        <v>9100</v>
      </c>
      <c r="C23" s="57">
        <f>13000*0.3</f>
        <v>3900</v>
      </c>
      <c r="D23" s="58">
        <f>11500*0.7</f>
        <v>8049.9999999999991</v>
      </c>
      <c r="E23" s="58">
        <f>11500*0.3</f>
        <v>3450</v>
      </c>
      <c r="F23" s="58">
        <f>12000*0.7</f>
        <v>8400</v>
      </c>
      <c r="G23" s="58">
        <f>12000*0.3</f>
        <v>3600</v>
      </c>
      <c r="H23" s="58">
        <f t="shared" si="10"/>
        <v>25550</v>
      </c>
      <c r="I23" s="58">
        <f t="shared" si="11"/>
        <v>10950</v>
      </c>
      <c r="J23" s="58">
        <f t="shared" si="12"/>
        <v>36500</v>
      </c>
    </row>
    <row r="24" spans="1:10" ht="25.5" x14ac:dyDescent="0.25">
      <c r="A24" s="40" t="s">
        <v>46</v>
      </c>
      <c r="B24" s="57">
        <f>197712*0.7</f>
        <v>138398.39999999999</v>
      </c>
      <c r="C24" s="57">
        <f>197712*0.3</f>
        <v>59313.599999999999</v>
      </c>
      <c r="D24" s="58">
        <f>75000*0.7</f>
        <v>52500</v>
      </c>
      <c r="E24" s="58">
        <f>75000*0.3</f>
        <v>22500</v>
      </c>
      <c r="F24" s="58">
        <f>0*0.7</f>
        <v>0</v>
      </c>
      <c r="G24" s="58">
        <f>0*0.3</f>
        <v>0</v>
      </c>
      <c r="H24" s="58">
        <f t="shared" si="10"/>
        <v>190898.4</v>
      </c>
      <c r="I24" s="58">
        <f t="shared" si="11"/>
        <v>81813.600000000006</v>
      </c>
      <c r="J24" s="58">
        <f t="shared" si="12"/>
        <v>272712</v>
      </c>
    </row>
    <row r="25" spans="1:10" ht="25.5" x14ac:dyDescent="0.25">
      <c r="A25" s="40" t="s">
        <v>47</v>
      </c>
      <c r="B25" s="57">
        <f>0*0.7</f>
        <v>0</v>
      </c>
      <c r="C25" s="57">
        <f>0*0.3</f>
        <v>0</v>
      </c>
      <c r="D25" s="58">
        <f>8000*0.7</f>
        <v>5600</v>
      </c>
      <c r="E25" s="58">
        <f>8000*0.3</f>
        <v>2400</v>
      </c>
      <c r="F25" s="58">
        <f>32000*0.7</f>
        <v>22400</v>
      </c>
      <c r="G25" s="58">
        <f>32000*0.3</f>
        <v>9600</v>
      </c>
      <c r="H25" s="58">
        <f t="shared" si="10"/>
        <v>28000</v>
      </c>
      <c r="I25" s="58">
        <f t="shared" si="11"/>
        <v>12000</v>
      </c>
      <c r="J25" s="58">
        <f t="shared" si="12"/>
        <v>40000</v>
      </c>
    </row>
    <row r="26" spans="1:10" x14ac:dyDescent="0.25">
      <c r="A26" s="65" t="s">
        <v>23</v>
      </c>
      <c r="B26" s="41">
        <f>SUM(B19:B25)</f>
        <v>173048.4</v>
      </c>
      <c r="C26" s="41">
        <f t="shared" ref="C26:J26" si="13">SUM(C19:C25)</f>
        <v>74163.600000000006</v>
      </c>
      <c r="D26" s="41">
        <f t="shared" si="13"/>
        <v>264950</v>
      </c>
      <c r="E26" s="41">
        <f t="shared" si="13"/>
        <v>113550</v>
      </c>
      <c r="F26" s="41">
        <f t="shared" si="13"/>
        <v>262080</v>
      </c>
      <c r="G26" s="41">
        <f t="shared" si="13"/>
        <v>112320</v>
      </c>
      <c r="H26" s="41">
        <f t="shared" si="13"/>
        <v>700078.4</v>
      </c>
      <c r="I26" s="41">
        <f t="shared" si="13"/>
        <v>300033.59999999998</v>
      </c>
      <c r="J26" s="41">
        <f t="shared" si="13"/>
        <v>1000112</v>
      </c>
    </row>
    <row r="27" spans="1:10" ht="25.5" x14ac:dyDescent="0.25">
      <c r="A27" s="40" t="s">
        <v>48</v>
      </c>
      <c r="B27" s="57">
        <f>B26*0.07</f>
        <v>12113.388000000001</v>
      </c>
      <c r="C27" s="57">
        <f t="shared" ref="C27:J27" si="14">C26*0.07</f>
        <v>5191.4520000000011</v>
      </c>
      <c r="D27" s="57">
        <f t="shared" si="14"/>
        <v>18546.5</v>
      </c>
      <c r="E27" s="57">
        <f t="shared" si="14"/>
        <v>7948.5000000000009</v>
      </c>
      <c r="F27" s="57">
        <f t="shared" si="14"/>
        <v>18345.600000000002</v>
      </c>
      <c r="G27" s="57">
        <f t="shared" si="14"/>
        <v>7862.4000000000005</v>
      </c>
      <c r="H27" s="57">
        <f t="shared" si="14"/>
        <v>49005.488000000005</v>
      </c>
      <c r="I27" s="57">
        <f t="shared" si="14"/>
        <v>21002.351999999999</v>
      </c>
      <c r="J27" s="57">
        <f t="shared" si="14"/>
        <v>70007.840000000011</v>
      </c>
    </row>
    <row r="28" spans="1:10" x14ac:dyDescent="0.25">
      <c r="A28" s="65" t="s">
        <v>25</v>
      </c>
      <c r="B28" s="41">
        <f>SUM(B26:B27)</f>
        <v>185161.788</v>
      </c>
      <c r="C28" s="41">
        <f t="shared" ref="C28:J28" si="15">SUM(C26:C27)</f>
        <v>79355.052000000011</v>
      </c>
      <c r="D28" s="41">
        <f t="shared" si="15"/>
        <v>283496.5</v>
      </c>
      <c r="E28" s="41">
        <f t="shared" si="15"/>
        <v>121498.5</v>
      </c>
      <c r="F28" s="41">
        <f t="shared" si="15"/>
        <v>280425.59999999998</v>
      </c>
      <c r="G28" s="41">
        <f t="shared" si="15"/>
        <v>120182.39999999999</v>
      </c>
      <c r="H28" s="41">
        <f t="shared" si="15"/>
        <v>749083.88800000004</v>
      </c>
      <c r="I28" s="41">
        <f t="shared" si="15"/>
        <v>321035.95199999999</v>
      </c>
      <c r="J28" s="41">
        <f t="shared" si="15"/>
        <v>1070119.8400000001</v>
      </c>
    </row>
    <row r="31" spans="1:10" x14ac:dyDescent="0.25">
      <c r="A31" s="93" t="s">
        <v>28</v>
      </c>
      <c r="B31" s="93"/>
      <c r="C31" s="93"/>
      <c r="D31" s="93"/>
      <c r="E31" s="93"/>
      <c r="F31" s="93"/>
      <c r="G31" s="93"/>
      <c r="H31" s="93"/>
      <c r="I31" s="93"/>
      <c r="J31" s="93"/>
    </row>
    <row r="32" spans="1:10" x14ac:dyDescent="0.25">
      <c r="A32" s="94" t="s">
        <v>33</v>
      </c>
      <c r="B32" s="94" t="s">
        <v>3</v>
      </c>
      <c r="C32" s="94"/>
      <c r="D32" s="94" t="s">
        <v>4</v>
      </c>
      <c r="E32" s="94"/>
      <c r="F32" s="94" t="s">
        <v>35</v>
      </c>
      <c r="G32" s="94"/>
      <c r="H32" s="95" t="s">
        <v>36</v>
      </c>
      <c r="I32" s="95" t="s">
        <v>37</v>
      </c>
      <c r="J32" s="94" t="s">
        <v>38</v>
      </c>
    </row>
    <row r="33" spans="1:10" ht="25.5" x14ac:dyDescent="0.25">
      <c r="A33" s="94"/>
      <c r="B33" s="65" t="s">
        <v>39</v>
      </c>
      <c r="C33" s="65" t="s">
        <v>40</v>
      </c>
      <c r="D33" s="65" t="s">
        <v>39</v>
      </c>
      <c r="E33" s="65" t="s">
        <v>40</v>
      </c>
      <c r="F33" s="65" t="s">
        <v>39</v>
      </c>
      <c r="G33" s="65" t="s">
        <v>40</v>
      </c>
      <c r="H33" s="96"/>
      <c r="I33" s="96"/>
      <c r="J33" s="94"/>
    </row>
    <row r="34" spans="1:10" ht="25.5" x14ac:dyDescent="0.25">
      <c r="A34" s="40" t="s">
        <v>41</v>
      </c>
      <c r="B34" s="50">
        <v>13167.699999999999</v>
      </c>
      <c r="C34" s="50">
        <v>5643.3</v>
      </c>
      <c r="D34" s="49">
        <f>13000*0.7</f>
        <v>9100</v>
      </c>
      <c r="E34" s="49">
        <f>13000*0.3</f>
        <v>3900</v>
      </c>
      <c r="F34" s="48">
        <v>35728</v>
      </c>
      <c r="G34" s="48">
        <v>15312</v>
      </c>
      <c r="H34" s="58">
        <v>120846.24</v>
      </c>
      <c r="I34" s="58">
        <v>51791.25</v>
      </c>
      <c r="J34" s="58">
        <v>172637.49</v>
      </c>
    </row>
    <row r="35" spans="1:10" ht="25.5" x14ac:dyDescent="0.25">
      <c r="A35" s="40" t="s">
        <v>42</v>
      </c>
      <c r="B35" s="50">
        <v>4345.25</v>
      </c>
      <c r="C35" s="50">
        <v>1862.25</v>
      </c>
      <c r="D35" s="49">
        <f>6500*0.7</f>
        <v>4550</v>
      </c>
      <c r="E35" s="49">
        <f>6500*0.3</f>
        <v>1950</v>
      </c>
      <c r="F35" s="48">
        <v>0</v>
      </c>
      <c r="G35" s="48">
        <v>0</v>
      </c>
      <c r="H35" s="58">
        <v>8895.25</v>
      </c>
      <c r="I35" s="58">
        <v>3812.25</v>
      </c>
      <c r="J35" s="58">
        <v>12707.5</v>
      </c>
    </row>
    <row r="36" spans="1:10" ht="38.25" x14ac:dyDescent="0.25">
      <c r="A36" s="40" t="s">
        <v>43</v>
      </c>
      <c r="B36" s="50">
        <v>0</v>
      </c>
      <c r="C36" s="50">
        <v>0</v>
      </c>
      <c r="D36" s="49">
        <f>0*0.7</f>
        <v>0</v>
      </c>
      <c r="E36" s="49">
        <f>0*0.3</f>
        <v>0</v>
      </c>
      <c r="F36" s="48">
        <v>0</v>
      </c>
      <c r="G36" s="48">
        <v>0</v>
      </c>
      <c r="H36" s="58">
        <v>700</v>
      </c>
      <c r="I36" s="58">
        <v>300</v>
      </c>
      <c r="J36" s="58">
        <v>1000</v>
      </c>
    </row>
    <row r="37" spans="1:10" x14ac:dyDescent="0.25">
      <c r="A37" s="40" t="s">
        <v>44</v>
      </c>
      <c r="B37" s="50">
        <v>136282.29300000001</v>
      </c>
      <c r="C37" s="50">
        <v>58406.697000000007</v>
      </c>
      <c r="D37" s="49">
        <f>221500*0.7</f>
        <v>155050</v>
      </c>
      <c r="E37" s="49">
        <f>221500*0.3</f>
        <v>66450</v>
      </c>
      <c r="F37" s="48">
        <v>136500</v>
      </c>
      <c r="G37" s="48">
        <v>58500</v>
      </c>
      <c r="H37" s="58">
        <v>364281.47</v>
      </c>
      <c r="I37" s="58">
        <v>156120.63</v>
      </c>
      <c r="J37" s="58">
        <v>520402.1</v>
      </c>
    </row>
    <row r="38" spans="1:10" x14ac:dyDescent="0.25">
      <c r="A38" s="40" t="s">
        <v>45</v>
      </c>
      <c r="B38" s="50">
        <v>25746</v>
      </c>
      <c r="C38" s="50">
        <v>11034</v>
      </c>
      <c r="D38" s="49">
        <f>7000*0.7</f>
        <v>4900</v>
      </c>
      <c r="E38" s="49">
        <f>7000*0.3</f>
        <v>2100</v>
      </c>
      <c r="F38" s="48">
        <v>3500</v>
      </c>
      <c r="G38" s="48">
        <v>1500</v>
      </c>
      <c r="H38" s="58">
        <v>34146</v>
      </c>
      <c r="I38" s="58">
        <v>14634</v>
      </c>
      <c r="J38" s="58">
        <v>48780</v>
      </c>
    </row>
    <row r="39" spans="1:10" ht="25.5" x14ac:dyDescent="0.25">
      <c r="A39" s="40" t="s">
        <v>46</v>
      </c>
      <c r="B39" s="50">
        <v>55930</v>
      </c>
      <c r="C39" s="50">
        <v>23970</v>
      </c>
      <c r="D39" s="49">
        <f>10000*0.7</f>
        <v>7000</v>
      </c>
      <c r="E39" s="49">
        <f>10000*0.3</f>
        <v>3000</v>
      </c>
      <c r="F39" s="48">
        <v>0</v>
      </c>
      <c r="G39" s="48">
        <v>0</v>
      </c>
      <c r="H39" s="58">
        <v>62930</v>
      </c>
      <c r="I39" s="58">
        <v>26970</v>
      </c>
      <c r="J39" s="58">
        <v>89900</v>
      </c>
    </row>
    <row r="40" spans="1:10" ht="25.5" x14ac:dyDescent="0.25">
      <c r="A40" s="40" t="s">
        <v>47</v>
      </c>
      <c r="B40" s="50">
        <v>9868.5999999999985</v>
      </c>
      <c r="C40" s="50">
        <v>4229.3999999999996</v>
      </c>
      <c r="D40" s="49">
        <f>7000*0.7</f>
        <v>4900</v>
      </c>
      <c r="E40" s="49">
        <f>7000*0.3</f>
        <v>2100</v>
      </c>
      <c r="F40" s="48">
        <v>12530</v>
      </c>
      <c r="G40" s="48">
        <v>5370</v>
      </c>
      <c r="H40" s="58">
        <v>27298.880000000001</v>
      </c>
      <c r="I40" s="58">
        <v>11699.52</v>
      </c>
      <c r="J40" s="58">
        <v>38998.400000000001</v>
      </c>
    </row>
    <row r="41" spans="1:10" x14ac:dyDescent="0.25">
      <c r="A41" s="65" t="s">
        <v>23</v>
      </c>
      <c r="B41" s="41">
        <f>SUM(B34:B40)</f>
        <v>245339.84300000002</v>
      </c>
      <c r="C41" s="41">
        <f t="shared" ref="C41:J41" si="16">SUM(C34:C40)</f>
        <v>105145.647</v>
      </c>
      <c r="D41" s="41">
        <f t="shared" si="16"/>
        <v>185500</v>
      </c>
      <c r="E41" s="41">
        <f t="shared" si="16"/>
        <v>79500</v>
      </c>
      <c r="F41" s="41">
        <f t="shared" si="16"/>
        <v>188258</v>
      </c>
      <c r="G41" s="41">
        <f t="shared" si="16"/>
        <v>80682</v>
      </c>
      <c r="H41" s="41">
        <f t="shared" si="16"/>
        <v>619097.84</v>
      </c>
      <c r="I41" s="41">
        <f t="shared" si="16"/>
        <v>265327.65000000002</v>
      </c>
      <c r="J41" s="41">
        <f t="shared" si="16"/>
        <v>884425.49</v>
      </c>
    </row>
    <row r="42" spans="1:10" ht="25.5" x14ac:dyDescent="0.25">
      <c r="A42" s="40" t="s">
        <v>48</v>
      </c>
      <c r="B42" s="57">
        <f>B41*0.07</f>
        <v>17173.789010000004</v>
      </c>
      <c r="C42" s="57">
        <f t="shared" ref="C42:J42" si="17">C41*0.07</f>
        <v>7360.1952900000006</v>
      </c>
      <c r="D42" s="57">
        <f t="shared" si="17"/>
        <v>12985.000000000002</v>
      </c>
      <c r="E42" s="57">
        <f t="shared" si="17"/>
        <v>5565.0000000000009</v>
      </c>
      <c r="F42" s="57">
        <f t="shared" si="17"/>
        <v>13178.060000000001</v>
      </c>
      <c r="G42" s="57">
        <f t="shared" si="17"/>
        <v>5647.7400000000007</v>
      </c>
      <c r="H42" s="57">
        <f t="shared" si="17"/>
        <v>43336.8488</v>
      </c>
      <c r="I42" s="57">
        <f t="shared" si="17"/>
        <v>18572.935500000003</v>
      </c>
      <c r="J42" s="57">
        <f t="shared" si="17"/>
        <v>61909.784300000007</v>
      </c>
    </row>
    <row r="43" spans="1:10" x14ac:dyDescent="0.25">
      <c r="A43" s="65" t="s">
        <v>25</v>
      </c>
      <c r="B43" s="41">
        <f>SUM(B41:B42)</f>
        <v>262513.63201</v>
      </c>
      <c r="C43" s="41">
        <f t="shared" ref="C43:J43" si="18">SUM(C41:C42)</f>
        <v>112505.84229</v>
      </c>
      <c r="D43" s="41">
        <f t="shared" si="18"/>
        <v>198485</v>
      </c>
      <c r="E43" s="41">
        <f t="shared" si="18"/>
        <v>85065</v>
      </c>
      <c r="F43" s="41">
        <f t="shared" si="18"/>
        <v>201436.06</v>
      </c>
      <c r="G43" s="41">
        <f t="shared" si="18"/>
        <v>86329.74</v>
      </c>
      <c r="H43" s="41">
        <f t="shared" si="18"/>
        <v>662434.6888</v>
      </c>
      <c r="I43" s="41">
        <f t="shared" si="18"/>
        <v>283900.58550000004</v>
      </c>
      <c r="J43" s="41">
        <f t="shared" si="18"/>
        <v>946335.27430000005</v>
      </c>
    </row>
    <row r="46" spans="1:10" x14ac:dyDescent="0.25">
      <c r="A46" s="93" t="s">
        <v>30</v>
      </c>
      <c r="B46" s="93"/>
      <c r="C46" s="93"/>
      <c r="D46" s="93"/>
      <c r="E46" s="93"/>
      <c r="F46" s="93"/>
      <c r="G46" s="93"/>
      <c r="H46" s="93"/>
      <c r="I46" s="93"/>
      <c r="J46" s="93"/>
    </row>
    <row r="47" spans="1:10" x14ac:dyDescent="0.25">
      <c r="A47" s="94" t="s">
        <v>33</v>
      </c>
      <c r="B47" s="94" t="s">
        <v>34</v>
      </c>
      <c r="C47" s="94"/>
      <c r="D47" s="94" t="s">
        <v>4</v>
      </c>
      <c r="E47" s="94"/>
      <c r="F47" s="94" t="s">
        <v>35</v>
      </c>
      <c r="G47" s="94"/>
      <c r="H47" s="95" t="s">
        <v>36</v>
      </c>
      <c r="I47" s="95" t="s">
        <v>37</v>
      </c>
      <c r="J47" s="94" t="s">
        <v>38</v>
      </c>
    </row>
    <row r="48" spans="1:10" ht="25.5" x14ac:dyDescent="0.25">
      <c r="A48" s="94"/>
      <c r="B48" s="65" t="s">
        <v>39</v>
      </c>
      <c r="C48" s="65" t="s">
        <v>40</v>
      </c>
      <c r="D48" s="65" t="s">
        <v>39</v>
      </c>
      <c r="E48" s="65" t="s">
        <v>40</v>
      </c>
      <c r="F48" s="65" t="s">
        <v>39</v>
      </c>
      <c r="G48" s="65" t="s">
        <v>40</v>
      </c>
      <c r="H48" s="96"/>
      <c r="I48" s="96"/>
      <c r="J48" s="94"/>
    </row>
    <row r="49" spans="1:12" ht="25.5" x14ac:dyDescent="0.25">
      <c r="A49" s="40" t="s">
        <v>41</v>
      </c>
      <c r="B49" s="58">
        <f>20500*0.7</f>
        <v>14349.999999999998</v>
      </c>
      <c r="C49" s="58">
        <f>20500*0.3</f>
        <v>6150</v>
      </c>
      <c r="D49" s="53">
        <f>137000*0.7</f>
        <v>95900</v>
      </c>
      <c r="E49" s="53">
        <f>137000*0.3</f>
        <v>41100</v>
      </c>
      <c r="F49" s="58">
        <f>78400*0.7</f>
        <v>54880</v>
      </c>
      <c r="G49" s="58">
        <f>78400*0.3</f>
        <v>23520</v>
      </c>
      <c r="H49" s="58">
        <f>B49+D49+F49</f>
        <v>165130</v>
      </c>
      <c r="I49" s="58">
        <f>C49+E49+G49</f>
        <v>70770</v>
      </c>
      <c r="J49" s="58">
        <f>SUM(H49:I49)</f>
        <v>235900</v>
      </c>
    </row>
    <row r="50" spans="1:12" ht="25.5" x14ac:dyDescent="0.25">
      <c r="A50" s="40" t="s">
        <v>42</v>
      </c>
      <c r="B50" s="58">
        <f>0*0.7</f>
        <v>0</v>
      </c>
      <c r="C50" s="58">
        <f>0*0.3</f>
        <v>0</v>
      </c>
      <c r="D50" s="53">
        <f>0*0.7</f>
        <v>0</v>
      </c>
      <c r="E50" s="53">
        <f>0*0.3</f>
        <v>0</v>
      </c>
      <c r="F50" s="58">
        <f>0*0.7</f>
        <v>0</v>
      </c>
      <c r="G50" s="58">
        <f>0*0.3</f>
        <v>0</v>
      </c>
      <c r="H50" s="58">
        <f t="shared" ref="H50:H58" si="19">B50+D50+F50</f>
        <v>0</v>
      </c>
      <c r="I50" s="58">
        <f t="shared" ref="I50:I58" si="20">C50+E50+G50</f>
        <v>0</v>
      </c>
      <c r="J50" s="58">
        <f t="shared" ref="J50:J58" si="21">SUM(H50:I50)</f>
        <v>0</v>
      </c>
    </row>
    <row r="51" spans="1:12" ht="38.25" x14ac:dyDescent="0.25">
      <c r="A51" s="40" t="s">
        <v>43</v>
      </c>
      <c r="B51" s="58">
        <f>0*0.7</f>
        <v>0</v>
      </c>
      <c r="C51" s="58">
        <f>0*0.3</f>
        <v>0</v>
      </c>
      <c r="D51" s="53">
        <f>0*0.7</f>
        <v>0</v>
      </c>
      <c r="E51" s="53">
        <f>0*0.3</f>
        <v>0</v>
      </c>
      <c r="F51" s="58">
        <f>0*0.7</f>
        <v>0</v>
      </c>
      <c r="G51" s="58">
        <f>0*0.3</f>
        <v>0</v>
      </c>
      <c r="H51" s="58">
        <f t="shared" si="19"/>
        <v>0</v>
      </c>
      <c r="I51" s="58">
        <f t="shared" si="20"/>
        <v>0</v>
      </c>
      <c r="J51" s="58">
        <f t="shared" si="21"/>
        <v>0</v>
      </c>
    </row>
    <row r="52" spans="1:12" x14ac:dyDescent="0.25">
      <c r="A52" s="40" t="s">
        <v>44</v>
      </c>
      <c r="B52" s="58">
        <f>105200*0.7</f>
        <v>73640</v>
      </c>
      <c r="C52" s="58">
        <f>105200*0.3</f>
        <v>31560</v>
      </c>
      <c r="D52" s="53">
        <f>99000*0.7</f>
        <v>69300</v>
      </c>
      <c r="E52" s="53">
        <f>99000*0.3</f>
        <v>29700</v>
      </c>
      <c r="F52" s="58">
        <f>274500*0.7</f>
        <v>192150</v>
      </c>
      <c r="G52" s="58">
        <f>274500*0.3</f>
        <v>82350</v>
      </c>
      <c r="H52" s="58">
        <f t="shared" si="19"/>
        <v>335090</v>
      </c>
      <c r="I52" s="58">
        <f t="shared" si="20"/>
        <v>143610</v>
      </c>
      <c r="J52" s="58">
        <f t="shared" si="21"/>
        <v>478700</v>
      </c>
    </row>
    <row r="53" spans="1:12" x14ac:dyDescent="0.25">
      <c r="A53" s="40" t="s">
        <v>45</v>
      </c>
      <c r="B53" s="58">
        <f>34610*0.7</f>
        <v>24227</v>
      </c>
      <c r="C53" s="58">
        <f>34610*0.3</f>
        <v>10383</v>
      </c>
      <c r="D53" s="53">
        <f>3500*0.7</f>
        <v>2450</v>
      </c>
      <c r="E53" s="53">
        <f>3500*0.3</f>
        <v>1050</v>
      </c>
      <c r="F53" s="58">
        <f>5000*0.7</f>
        <v>3500</v>
      </c>
      <c r="G53" s="58">
        <f>5000*0.3</f>
        <v>1500</v>
      </c>
      <c r="H53" s="58">
        <f t="shared" si="19"/>
        <v>30177</v>
      </c>
      <c r="I53" s="58">
        <f t="shared" si="20"/>
        <v>12933</v>
      </c>
      <c r="J53" s="58">
        <f t="shared" si="21"/>
        <v>43110</v>
      </c>
    </row>
    <row r="54" spans="1:12" ht="25.5" x14ac:dyDescent="0.25">
      <c r="A54" s="40" t="s">
        <v>46</v>
      </c>
      <c r="B54" s="58">
        <f>0*0.7</f>
        <v>0</v>
      </c>
      <c r="C54" s="58">
        <f>0*0.3</f>
        <v>0</v>
      </c>
      <c r="D54" s="53">
        <f>302500*0.7</f>
        <v>211750</v>
      </c>
      <c r="E54" s="53">
        <f>302500*0.3</f>
        <v>90750</v>
      </c>
      <c r="F54" s="58">
        <f>0*0.7</f>
        <v>0</v>
      </c>
      <c r="G54" s="58">
        <f>0*0.3</f>
        <v>0</v>
      </c>
      <c r="H54" s="58">
        <f t="shared" si="19"/>
        <v>211750</v>
      </c>
      <c r="I54" s="58">
        <f t="shared" si="20"/>
        <v>90750</v>
      </c>
      <c r="J54" s="58">
        <f t="shared" si="21"/>
        <v>302500</v>
      </c>
    </row>
    <row r="55" spans="1:12" ht="25.5" x14ac:dyDescent="0.25">
      <c r="A55" s="40" t="s">
        <v>47</v>
      </c>
      <c r="B55" s="58">
        <f>132821.6*0.7</f>
        <v>92975.12</v>
      </c>
      <c r="C55" s="58">
        <f>132821.6*0.3</f>
        <v>39846.480000000003</v>
      </c>
      <c r="D55" s="58">
        <f>0*0.7</f>
        <v>0</v>
      </c>
      <c r="E55" s="58">
        <f>0*0.3</f>
        <v>0</v>
      </c>
      <c r="F55" s="58">
        <f>26000*0.7</f>
        <v>18200</v>
      </c>
      <c r="G55" s="58">
        <f>26000*0.3</f>
        <v>7800</v>
      </c>
      <c r="H55" s="58">
        <f t="shared" si="19"/>
        <v>111175.12</v>
      </c>
      <c r="I55" s="58">
        <f t="shared" si="20"/>
        <v>47646.48</v>
      </c>
      <c r="J55" s="58">
        <f t="shared" si="21"/>
        <v>158821.6</v>
      </c>
      <c r="L55" s="3"/>
    </row>
    <row r="56" spans="1:12" x14ac:dyDescent="0.25">
      <c r="A56" s="65" t="s">
        <v>23</v>
      </c>
      <c r="B56" s="41">
        <f>SUM(B49:B55)</f>
        <v>205192.12</v>
      </c>
      <c r="C56" s="41">
        <f t="shared" ref="C56:J56" si="22">SUM(C49:C55)</f>
        <v>87939.48000000001</v>
      </c>
      <c r="D56" s="41">
        <f t="shared" si="22"/>
        <v>379400</v>
      </c>
      <c r="E56" s="41">
        <f t="shared" si="22"/>
        <v>162600</v>
      </c>
      <c r="F56" s="41">
        <f t="shared" si="22"/>
        <v>268730</v>
      </c>
      <c r="G56" s="41">
        <f t="shared" si="22"/>
        <v>115170</v>
      </c>
      <c r="H56" s="41">
        <f t="shared" si="22"/>
        <v>853322.12</v>
      </c>
      <c r="I56" s="41">
        <f t="shared" si="22"/>
        <v>365709.48</v>
      </c>
      <c r="J56" s="41">
        <f t="shared" si="22"/>
        <v>1219031.6000000001</v>
      </c>
    </row>
    <row r="57" spans="1:12" ht="25.5" x14ac:dyDescent="0.25">
      <c r="A57" s="40" t="s">
        <v>48</v>
      </c>
      <c r="B57" s="57">
        <f t="shared" ref="B57:G57" si="23">B56*0.07</f>
        <v>14363.448400000001</v>
      </c>
      <c r="C57" s="57">
        <f t="shared" si="23"/>
        <v>6155.7636000000011</v>
      </c>
      <c r="D57" s="57">
        <f t="shared" si="23"/>
        <v>26558.000000000004</v>
      </c>
      <c r="E57" s="57">
        <f t="shared" si="23"/>
        <v>11382.000000000002</v>
      </c>
      <c r="F57" s="57">
        <f t="shared" si="23"/>
        <v>18811.100000000002</v>
      </c>
      <c r="G57" s="57">
        <f t="shared" si="23"/>
        <v>8061.9000000000005</v>
      </c>
      <c r="H57" s="58">
        <f t="shared" si="19"/>
        <v>59732.548400000014</v>
      </c>
      <c r="I57" s="58">
        <f t="shared" si="20"/>
        <v>25599.663600000003</v>
      </c>
      <c r="J57" s="58">
        <f t="shared" si="21"/>
        <v>85332.212000000014</v>
      </c>
    </row>
    <row r="58" spans="1:12" x14ac:dyDescent="0.25">
      <c r="A58" s="65" t="s">
        <v>25</v>
      </c>
      <c r="B58" s="41">
        <f>SUM(B56:B57)</f>
        <v>219555.56839999999</v>
      </c>
      <c r="C58" s="41">
        <f t="shared" ref="C58:G58" si="24">SUM(C56:C57)</f>
        <v>94095.243600000016</v>
      </c>
      <c r="D58" s="41">
        <f t="shared" si="24"/>
        <v>405958</v>
      </c>
      <c r="E58" s="41">
        <f t="shared" si="24"/>
        <v>173982</v>
      </c>
      <c r="F58" s="41">
        <f t="shared" si="24"/>
        <v>287541.09999999998</v>
      </c>
      <c r="G58" s="41">
        <f t="shared" si="24"/>
        <v>123231.9</v>
      </c>
      <c r="H58" s="41">
        <f t="shared" si="19"/>
        <v>913054.66839999997</v>
      </c>
      <c r="I58" s="41">
        <f t="shared" si="20"/>
        <v>391309.14360000007</v>
      </c>
      <c r="J58" s="41">
        <f t="shared" si="21"/>
        <v>1304363.8119999999</v>
      </c>
    </row>
    <row r="61" spans="1:12" x14ac:dyDescent="0.25">
      <c r="A61" s="93" t="s">
        <v>49</v>
      </c>
      <c r="B61" s="93"/>
      <c r="C61" s="93"/>
      <c r="D61" s="93"/>
      <c r="E61" s="93"/>
      <c r="F61" s="93"/>
      <c r="G61" s="93"/>
      <c r="H61" s="93"/>
      <c r="I61" s="93"/>
      <c r="J61" s="93"/>
    </row>
    <row r="62" spans="1:12" x14ac:dyDescent="0.25">
      <c r="A62" s="94" t="s">
        <v>33</v>
      </c>
      <c r="B62" s="94" t="s">
        <v>34</v>
      </c>
      <c r="C62" s="94"/>
      <c r="D62" s="94" t="s">
        <v>4</v>
      </c>
      <c r="E62" s="94"/>
      <c r="F62" s="94" t="s">
        <v>35</v>
      </c>
      <c r="G62" s="94"/>
      <c r="H62" s="95" t="s">
        <v>36</v>
      </c>
      <c r="I62" s="95" t="s">
        <v>37</v>
      </c>
      <c r="J62" s="94" t="s">
        <v>38</v>
      </c>
    </row>
    <row r="63" spans="1:12" ht="25.5" x14ac:dyDescent="0.25">
      <c r="A63" s="94"/>
      <c r="B63" s="65" t="s">
        <v>39</v>
      </c>
      <c r="C63" s="65" t="s">
        <v>40</v>
      </c>
      <c r="D63" s="65" t="s">
        <v>39</v>
      </c>
      <c r="E63" s="65" t="s">
        <v>40</v>
      </c>
      <c r="F63" s="65" t="s">
        <v>39</v>
      </c>
      <c r="G63" s="65" t="s">
        <v>40</v>
      </c>
      <c r="H63" s="96"/>
      <c r="I63" s="96"/>
      <c r="J63" s="94"/>
    </row>
    <row r="64" spans="1:12" ht="25.5" x14ac:dyDescent="0.25">
      <c r="A64" s="40" t="s">
        <v>41</v>
      </c>
      <c r="B64" s="57">
        <f t="shared" ref="B64:G64" si="25">B4+B19+B34+B49</f>
        <v>80603.670000000013</v>
      </c>
      <c r="C64" s="58">
        <f t="shared" si="25"/>
        <v>34544.430000000008</v>
      </c>
      <c r="D64" s="58">
        <f t="shared" si="25"/>
        <v>246750</v>
      </c>
      <c r="E64" s="58">
        <f t="shared" si="25"/>
        <v>105750</v>
      </c>
      <c r="F64" s="58">
        <f t="shared" si="25"/>
        <v>215418</v>
      </c>
      <c r="G64" s="58">
        <f t="shared" si="25"/>
        <v>92322</v>
      </c>
      <c r="H64" s="58">
        <f>B64+D64+F64</f>
        <v>542771.67000000004</v>
      </c>
      <c r="I64" s="58">
        <f>C64+E64+G64</f>
        <v>232616.43</v>
      </c>
      <c r="J64" s="58">
        <f>SUM(H64+I64)</f>
        <v>775388.10000000009</v>
      </c>
    </row>
    <row r="65" spans="1:10" ht="25.5" x14ac:dyDescent="0.25">
      <c r="A65" s="40" t="s">
        <v>42</v>
      </c>
      <c r="B65" s="57">
        <f t="shared" ref="B65:G73" si="26">B5+B20+B35+B50</f>
        <v>4345.25</v>
      </c>
      <c r="C65" s="58">
        <f t="shared" si="26"/>
        <v>1862.25</v>
      </c>
      <c r="D65" s="58">
        <f t="shared" si="26"/>
        <v>8050</v>
      </c>
      <c r="E65" s="58">
        <f t="shared" si="26"/>
        <v>3450</v>
      </c>
      <c r="F65" s="58">
        <f t="shared" si="26"/>
        <v>0</v>
      </c>
      <c r="G65" s="58">
        <f t="shared" si="26"/>
        <v>0</v>
      </c>
      <c r="H65" s="58">
        <f t="shared" ref="H65:H73" si="27">B65+D65+F65</f>
        <v>12395.25</v>
      </c>
      <c r="I65" s="58">
        <f t="shared" ref="I65:I73" si="28">C65+E65+G65</f>
        <v>5312.25</v>
      </c>
      <c r="J65" s="58">
        <f t="shared" ref="J65:J73" si="29">SUM(H65+I65)</f>
        <v>17707.5</v>
      </c>
    </row>
    <row r="66" spans="1:10" ht="38.25" x14ac:dyDescent="0.25">
      <c r="A66" s="40" t="s">
        <v>43</v>
      </c>
      <c r="B66" s="57">
        <f t="shared" si="26"/>
        <v>0</v>
      </c>
      <c r="C66" s="58">
        <f t="shared" si="26"/>
        <v>0</v>
      </c>
      <c r="D66" s="58">
        <f t="shared" si="26"/>
        <v>0</v>
      </c>
      <c r="E66" s="58">
        <f t="shared" si="26"/>
        <v>0</v>
      </c>
      <c r="F66" s="58">
        <f t="shared" si="26"/>
        <v>0</v>
      </c>
      <c r="G66" s="58">
        <f t="shared" si="26"/>
        <v>0</v>
      </c>
      <c r="H66" s="58">
        <f t="shared" si="27"/>
        <v>0</v>
      </c>
      <c r="I66" s="58">
        <f t="shared" si="28"/>
        <v>0</v>
      </c>
      <c r="J66" s="58">
        <f t="shared" si="29"/>
        <v>0</v>
      </c>
    </row>
    <row r="67" spans="1:10" x14ac:dyDescent="0.25">
      <c r="A67" s="40" t="s">
        <v>44</v>
      </c>
      <c r="B67" s="57">
        <f t="shared" si="26"/>
        <v>721516.72074999998</v>
      </c>
      <c r="C67" s="58">
        <f t="shared" si="26"/>
        <v>309221.45175000001</v>
      </c>
      <c r="D67" s="58">
        <f t="shared" si="26"/>
        <v>418600</v>
      </c>
      <c r="E67" s="58">
        <f t="shared" si="26"/>
        <v>179400</v>
      </c>
      <c r="F67" s="58">
        <f t="shared" si="26"/>
        <v>693700</v>
      </c>
      <c r="G67" s="58">
        <f t="shared" si="26"/>
        <v>297300</v>
      </c>
      <c r="H67" s="58">
        <f t="shared" si="27"/>
        <v>1833816.7207499999</v>
      </c>
      <c r="I67" s="58">
        <f t="shared" si="28"/>
        <v>785921.45175000001</v>
      </c>
      <c r="J67" s="58">
        <f t="shared" si="29"/>
        <v>2619738.1724999999</v>
      </c>
    </row>
    <row r="68" spans="1:10" x14ac:dyDescent="0.25">
      <c r="A68" s="40" t="s">
        <v>45</v>
      </c>
      <c r="B68" s="57">
        <f t="shared" si="26"/>
        <v>83923</v>
      </c>
      <c r="C68" s="58">
        <f t="shared" si="26"/>
        <v>35967</v>
      </c>
      <c r="D68" s="58">
        <f t="shared" si="26"/>
        <v>24500</v>
      </c>
      <c r="E68" s="58">
        <f t="shared" si="26"/>
        <v>10500</v>
      </c>
      <c r="F68" s="58">
        <f t="shared" si="26"/>
        <v>19600</v>
      </c>
      <c r="G68" s="58">
        <f t="shared" si="26"/>
        <v>8400</v>
      </c>
      <c r="H68" s="58">
        <f t="shared" si="27"/>
        <v>128023</v>
      </c>
      <c r="I68" s="58">
        <f t="shared" si="28"/>
        <v>54867</v>
      </c>
      <c r="J68" s="58">
        <f t="shared" si="29"/>
        <v>182890</v>
      </c>
    </row>
    <row r="69" spans="1:10" ht="25.5" x14ac:dyDescent="0.25">
      <c r="A69" s="40" t="s">
        <v>46</v>
      </c>
      <c r="B69" s="57">
        <f t="shared" si="26"/>
        <v>299328.40000000002</v>
      </c>
      <c r="C69" s="58">
        <f t="shared" si="26"/>
        <v>128283.6</v>
      </c>
      <c r="D69" s="58">
        <f t="shared" si="26"/>
        <v>397950</v>
      </c>
      <c r="E69" s="58">
        <f t="shared" si="26"/>
        <v>170550</v>
      </c>
      <c r="F69" s="58">
        <f t="shared" si="26"/>
        <v>0</v>
      </c>
      <c r="G69" s="58">
        <f t="shared" si="26"/>
        <v>0</v>
      </c>
      <c r="H69" s="58">
        <f t="shared" si="27"/>
        <v>697278.4</v>
      </c>
      <c r="I69" s="58">
        <f t="shared" si="28"/>
        <v>298833.59999999998</v>
      </c>
      <c r="J69" s="58">
        <f t="shared" si="29"/>
        <v>996112</v>
      </c>
    </row>
    <row r="70" spans="1:10" ht="25.5" x14ac:dyDescent="0.25">
      <c r="A70" s="40" t="s">
        <v>47</v>
      </c>
      <c r="B70" s="57">
        <f t="shared" si="26"/>
        <v>130654.72</v>
      </c>
      <c r="C70" s="58">
        <f t="shared" si="26"/>
        <v>55994.880000000005</v>
      </c>
      <c r="D70" s="58">
        <f t="shared" si="26"/>
        <v>18200</v>
      </c>
      <c r="E70" s="58">
        <f t="shared" si="26"/>
        <v>7800</v>
      </c>
      <c r="F70" s="58">
        <f t="shared" si="26"/>
        <v>74130</v>
      </c>
      <c r="G70" s="58">
        <f t="shared" si="26"/>
        <v>31770</v>
      </c>
      <c r="H70" s="58">
        <f t="shared" si="27"/>
        <v>222984.72</v>
      </c>
      <c r="I70" s="58">
        <f t="shared" si="28"/>
        <v>95564.88</v>
      </c>
      <c r="J70" s="58">
        <f t="shared" si="29"/>
        <v>318549.59999999998</v>
      </c>
    </row>
    <row r="71" spans="1:10" x14ac:dyDescent="0.25">
      <c r="A71" s="65" t="s">
        <v>23</v>
      </c>
      <c r="B71" s="41">
        <f t="shared" si="26"/>
        <v>1320371.7607499999</v>
      </c>
      <c r="C71" s="41">
        <f t="shared" si="26"/>
        <v>565873.61174999992</v>
      </c>
      <c r="D71" s="41">
        <f t="shared" si="26"/>
        <v>1114050</v>
      </c>
      <c r="E71" s="41">
        <f t="shared" si="26"/>
        <v>477450</v>
      </c>
      <c r="F71" s="41">
        <f t="shared" si="26"/>
        <v>1002848</v>
      </c>
      <c r="G71" s="41">
        <f t="shared" si="26"/>
        <v>429792</v>
      </c>
      <c r="H71" s="41">
        <f t="shared" si="27"/>
        <v>3437269.7607499999</v>
      </c>
      <c r="I71" s="41">
        <f t="shared" si="28"/>
        <v>1473115.6117499999</v>
      </c>
      <c r="J71" s="41">
        <f t="shared" si="29"/>
        <v>4910385.3724999996</v>
      </c>
    </row>
    <row r="72" spans="1:10" ht="25.5" x14ac:dyDescent="0.25">
      <c r="A72" s="40" t="s">
        <v>48</v>
      </c>
      <c r="B72" s="57">
        <f t="shared" si="26"/>
        <v>92426.023252500017</v>
      </c>
      <c r="C72" s="58">
        <f t="shared" si="26"/>
        <v>39611.1528225</v>
      </c>
      <c r="D72" s="58">
        <f t="shared" si="26"/>
        <v>77983.5</v>
      </c>
      <c r="E72" s="58">
        <f t="shared" si="26"/>
        <v>33421.5</v>
      </c>
      <c r="F72" s="58">
        <f t="shared" si="26"/>
        <v>70199.360000000015</v>
      </c>
      <c r="G72" s="58">
        <f t="shared" si="26"/>
        <v>30085.440000000006</v>
      </c>
      <c r="H72" s="58">
        <f t="shared" si="27"/>
        <v>240608.88325250003</v>
      </c>
      <c r="I72" s="58">
        <f t="shared" si="28"/>
        <v>103118.09282250001</v>
      </c>
      <c r="J72" s="58">
        <f t="shared" si="29"/>
        <v>343726.97607500001</v>
      </c>
    </row>
    <row r="73" spans="1:10" x14ac:dyDescent="0.25">
      <c r="A73" s="65" t="s">
        <v>25</v>
      </c>
      <c r="B73" s="41">
        <f t="shared" si="26"/>
        <v>1412797.7840025001</v>
      </c>
      <c r="C73" s="41">
        <f t="shared" si="26"/>
        <v>605484.76457250002</v>
      </c>
      <c r="D73" s="41">
        <f t="shared" si="26"/>
        <v>1192033.5</v>
      </c>
      <c r="E73" s="41">
        <f t="shared" si="26"/>
        <v>510871.5</v>
      </c>
      <c r="F73" s="41">
        <f t="shared" si="26"/>
        <v>1073047.3599999999</v>
      </c>
      <c r="G73" s="41">
        <f t="shared" si="26"/>
        <v>459877.43999999994</v>
      </c>
      <c r="H73" s="41">
        <f t="shared" si="27"/>
        <v>3677878.6440025</v>
      </c>
      <c r="I73" s="41">
        <f t="shared" si="28"/>
        <v>1576233.7045725</v>
      </c>
      <c r="J73" s="41">
        <f t="shared" si="29"/>
        <v>5254112.3485749997</v>
      </c>
    </row>
  </sheetData>
  <mergeCells count="40">
    <mergeCell ref="J2:J3"/>
    <mergeCell ref="A1:J1"/>
    <mergeCell ref="A16:J16"/>
    <mergeCell ref="A17:A18"/>
    <mergeCell ref="B17:C17"/>
    <mergeCell ref="D17:E17"/>
    <mergeCell ref="F17:G17"/>
    <mergeCell ref="H17:H18"/>
    <mergeCell ref="I17:I18"/>
    <mergeCell ref="J17:J18"/>
    <mergeCell ref="A2:A3"/>
    <mergeCell ref="B2:C2"/>
    <mergeCell ref="D2:E2"/>
    <mergeCell ref="F2:G2"/>
    <mergeCell ref="H2:H3"/>
    <mergeCell ref="I2:I3"/>
    <mergeCell ref="A31:J31"/>
    <mergeCell ref="A32:A33"/>
    <mergeCell ref="B32:C32"/>
    <mergeCell ref="D32:E32"/>
    <mergeCell ref="F32:G32"/>
    <mergeCell ref="H32:H33"/>
    <mergeCell ref="I32:I33"/>
    <mergeCell ref="J32:J33"/>
    <mergeCell ref="A46:J46"/>
    <mergeCell ref="A47:A48"/>
    <mergeCell ref="B47:C47"/>
    <mergeCell ref="D47:E47"/>
    <mergeCell ref="F47:G47"/>
    <mergeCell ref="H47:H48"/>
    <mergeCell ref="I47:I48"/>
    <mergeCell ref="J47:J48"/>
    <mergeCell ref="A61:J61"/>
    <mergeCell ref="A62:A63"/>
    <mergeCell ref="B62:C62"/>
    <mergeCell ref="D62:E62"/>
    <mergeCell ref="F62:G62"/>
    <mergeCell ref="H62:H63"/>
    <mergeCell ref="I62:I63"/>
    <mergeCell ref="J62:J6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DA286-1DC8-4FF6-9894-0C2F57EE9025}">
  <dimension ref="A1:U90"/>
  <sheetViews>
    <sheetView tabSelected="1" zoomScale="80" zoomScaleNormal="80" workbookViewId="0">
      <selection activeCell="U23" sqref="U23"/>
    </sheetView>
  </sheetViews>
  <sheetFormatPr defaultRowHeight="15" x14ac:dyDescent="0.25"/>
  <cols>
    <col min="1" max="1" width="54.7109375" customWidth="1"/>
    <col min="2" max="3" width="14.5703125" customWidth="1"/>
    <col min="4" max="7" width="20.28515625" customWidth="1"/>
    <col min="8" max="8" width="13.85546875" bestFit="1" customWidth="1"/>
    <col min="13" max="13" width="55.28515625" customWidth="1"/>
    <col min="14" max="14" width="22.7109375" customWidth="1"/>
    <col min="15" max="15" width="12.85546875" customWidth="1"/>
    <col min="16" max="21" width="17.42578125" customWidth="1"/>
  </cols>
  <sheetData>
    <row r="1" spans="1:21" x14ac:dyDescent="0.25">
      <c r="A1" s="98" t="s">
        <v>0</v>
      </c>
      <c r="B1" s="98"/>
      <c r="C1" s="98"/>
      <c r="D1" s="98"/>
      <c r="E1" s="98"/>
      <c r="F1" s="98"/>
      <c r="G1" s="98"/>
      <c r="M1" s="97" t="s">
        <v>49</v>
      </c>
      <c r="N1" s="97"/>
      <c r="O1" s="97"/>
      <c r="P1" s="97"/>
      <c r="Q1" s="97"/>
      <c r="R1" s="97"/>
      <c r="S1" s="97"/>
      <c r="T1" s="97"/>
      <c r="U1" s="97"/>
    </row>
    <row r="2" spans="1:21" ht="48" customHeight="1" x14ac:dyDescent="0.25">
      <c r="A2" s="26" t="s">
        <v>50</v>
      </c>
      <c r="B2" s="26" t="s">
        <v>51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52</v>
      </c>
      <c r="M2" s="26" t="s">
        <v>50</v>
      </c>
      <c r="N2" s="26" t="s">
        <v>51</v>
      </c>
      <c r="O2" s="26" t="s">
        <v>2</v>
      </c>
      <c r="P2" s="26" t="s">
        <v>3</v>
      </c>
      <c r="Q2" s="26" t="s">
        <v>4</v>
      </c>
      <c r="R2" s="26" t="s">
        <v>5</v>
      </c>
      <c r="S2" s="26" t="s">
        <v>52</v>
      </c>
      <c r="T2" s="26" t="s">
        <v>53</v>
      </c>
      <c r="U2" s="47" t="s">
        <v>25</v>
      </c>
    </row>
    <row r="3" spans="1:21" ht="45" customHeight="1" x14ac:dyDescent="0.25">
      <c r="A3" s="27" t="s">
        <v>7</v>
      </c>
      <c r="B3" s="27" t="s">
        <v>54</v>
      </c>
      <c r="C3" s="43">
        <f>SUM(C4:C8)</f>
        <v>118708.94625000001</v>
      </c>
      <c r="D3" s="43">
        <f t="shared" ref="D3:F3" si="0">SUM(D4:D8)</f>
        <v>193728.39</v>
      </c>
      <c r="E3" s="43">
        <f t="shared" si="0"/>
        <v>168400</v>
      </c>
      <c r="F3" s="43">
        <f t="shared" si="0"/>
        <v>250900</v>
      </c>
      <c r="G3" s="29">
        <f>SUM(C6:F6)/SUM(C3:F3)</f>
        <v>0.13878027567983073</v>
      </c>
      <c r="J3" s="39"/>
      <c r="M3" s="27" t="s">
        <v>7</v>
      </c>
      <c r="N3" s="27" t="s">
        <v>54</v>
      </c>
      <c r="O3" s="28">
        <f t="shared" ref="O3:O18" si="1">C3</f>
        <v>118708.94625000001</v>
      </c>
      <c r="P3" s="28">
        <f>SUM(P4:P8)</f>
        <v>645657.38</v>
      </c>
      <c r="Q3" s="28">
        <f>SUM(Q4:Q8)</f>
        <v>838400</v>
      </c>
      <c r="R3" s="28">
        <f t="shared" ref="R3" si="2">SUM(R4:R8)</f>
        <v>865640</v>
      </c>
      <c r="S3" s="29">
        <f>SUM(O6:R6)/SUM(O3:R3)</f>
        <v>0.11546944529307314</v>
      </c>
      <c r="T3" s="27"/>
      <c r="U3" s="28">
        <f>SUM(O3:R3)</f>
        <v>2468406.3262499999</v>
      </c>
    </row>
    <row r="4" spans="1:21" ht="48" customHeight="1" x14ac:dyDescent="0.25">
      <c r="A4" s="30" t="s">
        <v>55</v>
      </c>
      <c r="B4" s="31" t="s">
        <v>56</v>
      </c>
      <c r="C4" s="55">
        <v>45125.789250000002</v>
      </c>
      <c r="D4" s="55">
        <v>41418.550000000003</v>
      </c>
      <c r="E4" s="55">
        <v>17100</v>
      </c>
      <c r="F4" s="55">
        <v>123400</v>
      </c>
      <c r="G4" s="44"/>
      <c r="M4" s="30" t="s">
        <v>55</v>
      </c>
      <c r="N4" s="31" t="s">
        <v>56</v>
      </c>
      <c r="O4" s="32">
        <f t="shared" si="1"/>
        <v>45125.789250000002</v>
      </c>
      <c r="P4" s="32">
        <f t="shared" ref="P4:R8" si="3">D4+D27+D50+D73</f>
        <v>70016.55</v>
      </c>
      <c r="Q4" s="32">
        <f t="shared" si="3"/>
        <v>176100</v>
      </c>
      <c r="R4" s="32">
        <f t="shared" si="3"/>
        <v>446140</v>
      </c>
      <c r="S4" s="32"/>
      <c r="T4" s="33"/>
      <c r="U4" s="4">
        <f t="shared" ref="U4:U21" si="4">SUM(O4:R4)</f>
        <v>737382.33924999996</v>
      </c>
    </row>
    <row r="5" spans="1:21" ht="33.75" customHeight="1" x14ac:dyDescent="0.25">
      <c r="A5" s="30" t="s">
        <v>57</v>
      </c>
      <c r="B5" s="34" t="s">
        <v>58</v>
      </c>
      <c r="C5" s="55">
        <v>18395.789250000002</v>
      </c>
      <c r="D5" s="56">
        <v>66654.92</v>
      </c>
      <c r="E5" s="56">
        <v>72600</v>
      </c>
      <c r="F5" s="56">
        <v>24000</v>
      </c>
      <c r="G5" s="44"/>
      <c r="M5" s="30" t="s">
        <v>57</v>
      </c>
      <c r="N5" s="34" t="s">
        <v>58</v>
      </c>
      <c r="O5" s="32">
        <f t="shared" si="1"/>
        <v>18395.789250000002</v>
      </c>
      <c r="P5" s="32">
        <f t="shared" si="3"/>
        <v>232751.31</v>
      </c>
      <c r="Q5" s="32">
        <f t="shared" si="3"/>
        <v>364600</v>
      </c>
      <c r="R5" s="32">
        <f t="shared" si="3"/>
        <v>44000</v>
      </c>
      <c r="S5" s="32"/>
      <c r="T5" s="33"/>
      <c r="U5" s="4">
        <f t="shared" si="4"/>
        <v>659747.09924999997</v>
      </c>
    </row>
    <row r="6" spans="1:21" ht="33.75" customHeight="1" x14ac:dyDescent="0.25">
      <c r="A6" s="30" t="s">
        <v>59</v>
      </c>
      <c r="B6" s="34" t="s">
        <v>60</v>
      </c>
      <c r="C6" s="55">
        <v>18395.789250000002</v>
      </c>
      <c r="D6" s="56">
        <v>70654.92</v>
      </c>
      <c r="E6" s="56">
        <v>7500</v>
      </c>
      <c r="F6" s="56">
        <v>5000</v>
      </c>
      <c r="G6" s="44"/>
      <c r="M6" s="30" t="s">
        <v>59</v>
      </c>
      <c r="N6" s="34" t="s">
        <v>60</v>
      </c>
      <c r="O6" s="32">
        <f t="shared" si="1"/>
        <v>18395.789250000002</v>
      </c>
      <c r="P6" s="32">
        <f t="shared" si="3"/>
        <v>249129.71999999997</v>
      </c>
      <c r="Q6" s="32">
        <f t="shared" si="3"/>
        <v>7500</v>
      </c>
      <c r="R6" s="32">
        <f t="shared" si="3"/>
        <v>10000</v>
      </c>
      <c r="S6" s="32"/>
      <c r="T6" s="33"/>
      <c r="U6" s="4">
        <f t="shared" si="4"/>
        <v>285025.50925</v>
      </c>
    </row>
    <row r="7" spans="1:21" ht="33.75" customHeight="1" x14ac:dyDescent="0.25">
      <c r="A7" s="30" t="s">
        <v>61</v>
      </c>
      <c r="B7" s="34" t="s">
        <v>62</v>
      </c>
      <c r="C7" s="55">
        <v>18395.789250000002</v>
      </c>
      <c r="D7" s="56">
        <v>8000</v>
      </c>
      <c r="E7" s="56">
        <v>43600</v>
      </c>
      <c r="F7" s="56">
        <v>49000</v>
      </c>
      <c r="G7" s="44"/>
      <c r="M7" s="30" t="s">
        <v>61</v>
      </c>
      <c r="N7" s="34" t="s">
        <v>62</v>
      </c>
      <c r="O7" s="32">
        <f t="shared" si="1"/>
        <v>18395.789250000002</v>
      </c>
      <c r="P7" s="32">
        <f t="shared" si="3"/>
        <v>10000</v>
      </c>
      <c r="Q7" s="32">
        <f t="shared" si="3"/>
        <v>153600</v>
      </c>
      <c r="R7" s="32">
        <f t="shared" si="3"/>
        <v>207000</v>
      </c>
      <c r="S7" s="32"/>
      <c r="T7" s="33"/>
      <c r="U7" s="4">
        <f t="shared" si="4"/>
        <v>388995.78925000003</v>
      </c>
    </row>
    <row r="8" spans="1:21" ht="33.75" customHeight="1" x14ac:dyDescent="0.25">
      <c r="A8" s="30" t="s">
        <v>63</v>
      </c>
      <c r="B8" s="35" t="s">
        <v>64</v>
      </c>
      <c r="C8" s="55">
        <v>18395.789250000002</v>
      </c>
      <c r="D8" s="56">
        <v>7000</v>
      </c>
      <c r="E8" s="56">
        <v>27600</v>
      </c>
      <c r="F8" s="56">
        <v>49500</v>
      </c>
      <c r="G8" s="44"/>
      <c r="M8" s="30" t="s">
        <v>63</v>
      </c>
      <c r="N8" s="35" t="s">
        <v>64</v>
      </c>
      <c r="O8" s="32">
        <f t="shared" si="1"/>
        <v>18395.789250000002</v>
      </c>
      <c r="P8" s="32">
        <f t="shared" si="3"/>
        <v>83759.8</v>
      </c>
      <c r="Q8" s="32">
        <f t="shared" si="3"/>
        <v>136600</v>
      </c>
      <c r="R8" s="32">
        <f t="shared" si="3"/>
        <v>158500</v>
      </c>
      <c r="S8" s="32"/>
      <c r="T8" s="33"/>
      <c r="U8" s="4">
        <f t="shared" si="4"/>
        <v>397255.58925000002</v>
      </c>
    </row>
    <row r="9" spans="1:21" ht="33.75" customHeight="1" x14ac:dyDescent="0.25">
      <c r="A9" s="27" t="s">
        <v>13</v>
      </c>
      <c r="B9" s="27" t="s">
        <v>65</v>
      </c>
      <c r="C9" s="43">
        <f>SUM(C10:C14)</f>
        <v>135182.10431250001</v>
      </c>
      <c r="D9" s="43">
        <f t="shared" ref="D9:F9" si="5">SUM(D10:D14)</f>
        <v>165000</v>
      </c>
      <c r="E9" s="43">
        <f t="shared" si="5"/>
        <v>176000</v>
      </c>
      <c r="F9" s="43">
        <f t="shared" si="5"/>
        <v>116000</v>
      </c>
      <c r="G9" s="43"/>
      <c r="M9" s="27" t="s">
        <v>13</v>
      </c>
      <c r="N9" s="27" t="s">
        <v>65</v>
      </c>
      <c r="O9" s="28">
        <f t="shared" si="1"/>
        <v>135182.10431250001</v>
      </c>
      <c r="P9" s="28">
        <f>SUM(P10:P14)</f>
        <v>497054.1</v>
      </c>
      <c r="Q9" s="28">
        <f>SUM(Q10:Q14)</f>
        <v>620500</v>
      </c>
      <c r="R9" s="28">
        <f>SUM(R10:R14)</f>
        <v>409500</v>
      </c>
      <c r="S9" s="27"/>
      <c r="T9" s="27"/>
      <c r="U9" s="28">
        <f t="shared" si="4"/>
        <v>1662236.2043125001</v>
      </c>
    </row>
    <row r="10" spans="1:21" ht="33.75" customHeight="1" x14ac:dyDescent="0.25">
      <c r="A10" s="30" t="s">
        <v>66</v>
      </c>
      <c r="B10" s="31" t="s">
        <v>67</v>
      </c>
      <c r="C10" s="55">
        <v>18395.789250000002</v>
      </c>
      <c r="D10" s="56">
        <v>52000</v>
      </c>
      <c r="E10" s="56">
        <v>28600</v>
      </c>
      <c r="F10" s="56">
        <v>19000</v>
      </c>
      <c r="G10" s="44"/>
      <c r="M10" s="30" t="s">
        <v>66</v>
      </c>
      <c r="N10" s="31" t="s">
        <v>67</v>
      </c>
      <c r="O10" s="32">
        <f t="shared" si="1"/>
        <v>18395.789250000002</v>
      </c>
      <c r="P10" s="32">
        <f t="shared" ref="P10:R14" si="6">D10+D33+D56+D79</f>
        <v>93750</v>
      </c>
      <c r="Q10" s="32">
        <f t="shared" si="6"/>
        <v>111100</v>
      </c>
      <c r="R10" s="32"/>
      <c r="S10" s="32"/>
      <c r="T10" s="33"/>
      <c r="U10" s="4">
        <f t="shared" si="4"/>
        <v>223245.78925</v>
      </c>
    </row>
    <row r="11" spans="1:21" ht="33.75" customHeight="1" x14ac:dyDescent="0.25">
      <c r="A11" s="30" t="s">
        <v>68</v>
      </c>
      <c r="B11" s="34" t="s">
        <v>69</v>
      </c>
      <c r="C11" s="55">
        <v>18395.789250000002</v>
      </c>
      <c r="D11" s="56">
        <v>22000</v>
      </c>
      <c r="E11" s="56">
        <v>18600</v>
      </c>
      <c r="F11" s="56">
        <v>9000</v>
      </c>
      <c r="G11" s="44"/>
      <c r="M11" s="30" t="s">
        <v>68</v>
      </c>
      <c r="N11" s="34" t="s">
        <v>69</v>
      </c>
      <c r="O11" s="32">
        <f t="shared" si="1"/>
        <v>18395.789250000002</v>
      </c>
      <c r="P11" s="32">
        <f t="shared" si="6"/>
        <v>144862</v>
      </c>
      <c r="Q11" s="32">
        <f t="shared" si="6"/>
        <v>95600</v>
      </c>
      <c r="R11" s="32">
        <f t="shared" si="6"/>
        <v>39000</v>
      </c>
      <c r="S11" s="32"/>
      <c r="T11" s="33"/>
      <c r="U11" s="4">
        <f t="shared" si="4"/>
        <v>297857.78925000003</v>
      </c>
    </row>
    <row r="12" spans="1:21" ht="33.75" customHeight="1" x14ac:dyDescent="0.25">
      <c r="A12" s="30" t="s">
        <v>70</v>
      </c>
      <c r="B12" s="34" t="s">
        <v>71</v>
      </c>
      <c r="C12" s="55">
        <v>70395.789250000002</v>
      </c>
      <c r="D12" s="56">
        <v>1500</v>
      </c>
      <c r="E12" s="56">
        <v>13600</v>
      </c>
      <c r="F12" s="56">
        <v>5000</v>
      </c>
      <c r="G12" s="44"/>
      <c r="M12" s="30" t="s">
        <v>70</v>
      </c>
      <c r="N12" s="34" t="s">
        <v>71</v>
      </c>
      <c r="O12" s="32">
        <f t="shared" si="1"/>
        <v>70395.789250000002</v>
      </c>
      <c r="P12" s="32">
        <f t="shared" si="6"/>
        <v>2500</v>
      </c>
      <c r="Q12" s="32">
        <f t="shared" si="6"/>
        <v>17100</v>
      </c>
      <c r="R12" s="32">
        <f t="shared" si="6"/>
        <v>15000</v>
      </c>
      <c r="S12" s="32"/>
      <c r="T12" s="33"/>
      <c r="U12" s="4">
        <f t="shared" si="4"/>
        <v>104995.78925</v>
      </c>
    </row>
    <row r="13" spans="1:21" ht="33.75" customHeight="1" x14ac:dyDescent="0.25">
      <c r="A13" s="30" t="s">
        <v>72</v>
      </c>
      <c r="B13" s="34" t="s">
        <v>73</v>
      </c>
      <c r="C13" s="55">
        <v>23395.789250000002</v>
      </c>
      <c r="D13" s="56">
        <v>79000</v>
      </c>
      <c r="E13" s="56">
        <v>84600</v>
      </c>
      <c r="F13" s="56">
        <v>74000</v>
      </c>
      <c r="G13" s="44"/>
      <c r="M13" s="30" t="s">
        <v>72</v>
      </c>
      <c r="N13" s="34" t="s">
        <v>73</v>
      </c>
      <c r="O13" s="32">
        <f t="shared" si="1"/>
        <v>23395.789250000002</v>
      </c>
      <c r="P13" s="32">
        <f t="shared" si="6"/>
        <v>189000</v>
      </c>
      <c r="Q13" s="32">
        <f t="shared" si="6"/>
        <v>365100</v>
      </c>
      <c r="R13" s="32">
        <f t="shared" si="6"/>
        <v>306500</v>
      </c>
      <c r="S13" s="32"/>
      <c r="T13" s="33"/>
      <c r="U13" s="4">
        <f t="shared" si="4"/>
        <v>883995.78925000003</v>
      </c>
    </row>
    <row r="14" spans="1:21" ht="33.75" customHeight="1" x14ac:dyDescent="0.25">
      <c r="A14" s="30" t="s">
        <v>74</v>
      </c>
      <c r="B14" s="34" t="s">
        <v>75</v>
      </c>
      <c r="C14" s="55">
        <v>4598.9473125000004</v>
      </c>
      <c r="D14" s="56">
        <v>10500</v>
      </c>
      <c r="E14" s="56">
        <v>30600</v>
      </c>
      <c r="F14" s="56">
        <v>9000</v>
      </c>
      <c r="G14" s="44"/>
      <c r="M14" s="30" t="s">
        <v>74</v>
      </c>
      <c r="N14" s="34" t="s">
        <v>75</v>
      </c>
      <c r="O14" s="32">
        <f t="shared" si="1"/>
        <v>4598.9473125000004</v>
      </c>
      <c r="P14" s="32">
        <f t="shared" si="6"/>
        <v>66942.100000000006</v>
      </c>
      <c r="Q14" s="32">
        <f t="shared" si="6"/>
        <v>31600</v>
      </c>
      <c r="R14" s="32">
        <f t="shared" si="6"/>
        <v>49000</v>
      </c>
      <c r="S14" s="32"/>
      <c r="T14" s="33"/>
      <c r="U14" s="4">
        <f t="shared" si="4"/>
        <v>152141.04731250001</v>
      </c>
    </row>
    <row r="15" spans="1:21" ht="43.5" customHeight="1" x14ac:dyDescent="0.25">
      <c r="A15" s="27" t="s">
        <v>19</v>
      </c>
      <c r="B15" s="27" t="s">
        <v>76</v>
      </c>
      <c r="C15" s="43">
        <f>SUM(C16:C18)</f>
        <v>348796.84193749999</v>
      </c>
      <c r="D15" s="43">
        <f t="shared" ref="D15:F15" si="7">SUM(D16:D18)</f>
        <v>34000</v>
      </c>
      <c r="E15" s="43">
        <f t="shared" si="7"/>
        <v>61600</v>
      </c>
      <c r="F15" s="43">
        <f t="shared" si="7"/>
        <v>38500</v>
      </c>
      <c r="G15" s="43"/>
      <c r="M15" s="27" t="s">
        <v>19</v>
      </c>
      <c r="N15" s="27" t="s">
        <v>76</v>
      </c>
      <c r="O15" s="28">
        <f t="shared" si="1"/>
        <v>348796.84193749999</v>
      </c>
      <c r="P15" s="28">
        <f>SUM(P16:P18)</f>
        <v>140846</v>
      </c>
      <c r="Q15" s="28">
        <f t="shared" ref="Q15:R15" si="8">SUM(Q16:Q18)</f>
        <v>132600</v>
      </c>
      <c r="R15" s="28">
        <f t="shared" si="8"/>
        <v>120500</v>
      </c>
      <c r="S15" s="27"/>
      <c r="T15" s="27"/>
      <c r="U15" s="28">
        <f t="shared" si="4"/>
        <v>742742.84193750005</v>
      </c>
    </row>
    <row r="16" spans="1:21" ht="33.75" customHeight="1" x14ac:dyDescent="0.25">
      <c r="A16" s="30" t="s">
        <v>77</v>
      </c>
      <c r="B16" s="34" t="s">
        <v>78</v>
      </c>
      <c r="C16" s="55">
        <v>187598.94731250001</v>
      </c>
      <c r="D16" s="56">
        <v>11000</v>
      </c>
      <c r="E16" s="56">
        <v>15000</v>
      </c>
      <c r="F16" s="56">
        <v>9500</v>
      </c>
      <c r="G16" s="36"/>
      <c r="M16" s="30" t="s">
        <v>77</v>
      </c>
      <c r="N16" s="34" t="s">
        <v>78</v>
      </c>
      <c r="O16" s="36">
        <f t="shared" si="1"/>
        <v>187598.94731250001</v>
      </c>
      <c r="P16" s="36">
        <f t="shared" ref="P16:R18" si="9">D16+D39+D62+D85</f>
        <v>53270</v>
      </c>
      <c r="Q16" s="36">
        <f t="shared" si="9"/>
        <v>42500</v>
      </c>
      <c r="R16" s="37">
        <f t="shared" si="9"/>
        <v>39500</v>
      </c>
      <c r="S16" s="37"/>
      <c r="T16" s="33"/>
      <c r="U16" s="4">
        <f t="shared" si="4"/>
        <v>322868.94731249998</v>
      </c>
    </row>
    <row r="17" spans="1:21" ht="33.75" customHeight="1" x14ac:dyDescent="0.25">
      <c r="A17" s="30" t="s">
        <v>79</v>
      </c>
      <c r="B17" s="34" t="s">
        <v>80</v>
      </c>
      <c r="C17" s="55">
        <v>104598.94731249999</v>
      </c>
      <c r="D17" s="56">
        <v>20000</v>
      </c>
      <c r="E17" s="56">
        <v>33000</v>
      </c>
      <c r="F17" s="56">
        <v>24000</v>
      </c>
      <c r="G17" s="36"/>
      <c r="M17" s="30" t="s">
        <v>79</v>
      </c>
      <c r="N17" s="34" t="s">
        <v>80</v>
      </c>
      <c r="O17" s="36">
        <f t="shared" si="1"/>
        <v>104598.94731249999</v>
      </c>
      <c r="P17" s="36">
        <f t="shared" si="9"/>
        <v>83576</v>
      </c>
      <c r="Q17" s="36">
        <f t="shared" si="9"/>
        <v>75500</v>
      </c>
      <c r="R17" s="37">
        <f t="shared" si="9"/>
        <v>61000</v>
      </c>
      <c r="S17" s="37"/>
      <c r="T17" s="33"/>
      <c r="U17" s="4">
        <f t="shared" si="4"/>
        <v>324674.94731249998</v>
      </c>
    </row>
    <row r="18" spans="1:21" ht="33.75" customHeight="1" x14ac:dyDescent="0.25">
      <c r="A18" s="30" t="s">
        <v>81</v>
      </c>
      <c r="B18" s="34" t="s">
        <v>82</v>
      </c>
      <c r="C18" s="55">
        <v>56598.9473125</v>
      </c>
      <c r="D18" s="56">
        <v>3000</v>
      </c>
      <c r="E18" s="56">
        <v>13600</v>
      </c>
      <c r="F18" s="56">
        <v>5000</v>
      </c>
      <c r="G18" s="36"/>
      <c r="M18" s="30" t="s">
        <v>81</v>
      </c>
      <c r="N18" s="34" t="s">
        <v>82</v>
      </c>
      <c r="O18" s="36">
        <f t="shared" si="1"/>
        <v>56598.9473125</v>
      </c>
      <c r="P18" s="36">
        <f t="shared" si="9"/>
        <v>4000</v>
      </c>
      <c r="Q18" s="36">
        <f t="shared" si="9"/>
        <v>14600</v>
      </c>
      <c r="R18" s="37">
        <f t="shared" si="9"/>
        <v>20000</v>
      </c>
      <c r="S18" s="37"/>
      <c r="T18" s="33"/>
      <c r="U18" s="4">
        <f t="shared" si="4"/>
        <v>95198.947312500008</v>
      </c>
    </row>
    <row r="19" spans="1:21" ht="33.75" customHeight="1" x14ac:dyDescent="0.25">
      <c r="A19" s="99" t="s">
        <v>23</v>
      </c>
      <c r="B19" s="100"/>
      <c r="C19" s="45">
        <f>SUM(C3+C9+C15)</f>
        <v>602687.89250000007</v>
      </c>
      <c r="D19" s="45">
        <f t="shared" ref="D19:F19" si="10">SUM(D3+D9+D15)</f>
        <v>392728.39</v>
      </c>
      <c r="E19" s="45">
        <f t="shared" si="10"/>
        <v>406000</v>
      </c>
      <c r="F19" s="45">
        <f t="shared" si="10"/>
        <v>405400</v>
      </c>
      <c r="G19" s="46"/>
      <c r="M19" s="99" t="s">
        <v>23</v>
      </c>
      <c r="N19" s="100"/>
      <c r="O19" s="38">
        <f>SUM(O3+O9+O15)</f>
        <v>602687.89250000007</v>
      </c>
      <c r="P19" s="38">
        <f t="shared" ref="P19:R19" si="11">SUM(P3+P9+P15)</f>
        <v>1283557.48</v>
      </c>
      <c r="Q19" s="38">
        <f t="shared" si="11"/>
        <v>1591500</v>
      </c>
      <c r="R19" s="38">
        <f t="shared" si="11"/>
        <v>1395640</v>
      </c>
      <c r="S19" s="26"/>
      <c r="T19" s="26"/>
      <c r="U19" s="38">
        <f t="shared" si="4"/>
        <v>4873385.3725000005</v>
      </c>
    </row>
    <row r="20" spans="1:21" ht="33.75" customHeight="1" x14ac:dyDescent="0.25">
      <c r="A20" s="99" t="s">
        <v>24</v>
      </c>
      <c r="B20" s="100"/>
      <c r="C20" s="45">
        <f>C19*0.07</f>
        <v>42188.15247500001</v>
      </c>
      <c r="D20" s="45">
        <f t="shared" ref="D20:F20" si="12">D19*0.07</f>
        <v>27490.987300000004</v>
      </c>
      <c r="E20" s="45">
        <f t="shared" si="12"/>
        <v>28420.000000000004</v>
      </c>
      <c r="F20" s="45">
        <f t="shared" si="12"/>
        <v>28378.000000000004</v>
      </c>
      <c r="G20" s="46"/>
      <c r="M20" s="99" t="s">
        <v>24</v>
      </c>
      <c r="N20" s="100"/>
      <c r="O20" s="38">
        <f>O19*0.07</f>
        <v>42188.15247500001</v>
      </c>
      <c r="P20" s="38">
        <f t="shared" ref="P20:R20" si="13">P19*0.07</f>
        <v>89849.0236</v>
      </c>
      <c r="Q20" s="38">
        <f t="shared" si="13"/>
        <v>111405.00000000001</v>
      </c>
      <c r="R20" s="38">
        <f t="shared" si="13"/>
        <v>97694.8</v>
      </c>
      <c r="S20" s="26"/>
      <c r="T20" s="26"/>
      <c r="U20" s="38">
        <f t="shared" si="4"/>
        <v>341136.97607500001</v>
      </c>
    </row>
    <row r="21" spans="1:21" ht="33.75" customHeight="1" x14ac:dyDescent="0.25">
      <c r="A21" s="99" t="s">
        <v>25</v>
      </c>
      <c r="B21" s="100"/>
      <c r="C21" s="45">
        <f>SUM(C19:C20)</f>
        <v>644876.04497500008</v>
      </c>
      <c r="D21" s="45">
        <f t="shared" ref="D21:F21" si="14">SUM(D19:D20)</f>
        <v>420219.37729999999</v>
      </c>
      <c r="E21" s="45">
        <f t="shared" si="14"/>
        <v>434420</v>
      </c>
      <c r="F21" s="45">
        <f t="shared" si="14"/>
        <v>433778</v>
      </c>
      <c r="G21" s="46"/>
      <c r="M21" s="99" t="s">
        <v>25</v>
      </c>
      <c r="N21" s="100"/>
      <c r="O21" s="38">
        <f>SUM(O19:O20)</f>
        <v>644876.04497500008</v>
      </c>
      <c r="P21" s="38">
        <f t="shared" ref="P21:R21" si="15">SUM(P19:P20)</f>
        <v>1373406.5035999999</v>
      </c>
      <c r="Q21" s="38">
        <f t="shared" si="15"/>
        <v>1702905</v>
      </c>
      <c r="R21" s="38">
        <f t="shared" si="15"/>
        <v>1493334.8</v>
      </c>
      <c r="S21" s="26"/>
      <c r="T21" s="26"/>
      <c r="U21" s="38">
        <f t="shared" si="4"/>
        <v>5214522.3485749997</v>
      </c>
    </row>
    <row r="24" spans="1:21" x14ac:dyDescent="0.25">
      <c r="A24" s="98" t="s">
        <v>26</v>
      </c>
      <c r="B24" s="98"/>
      <c r="C24" s="98"/>
      <c r="D24" s="98"/>
      <c r="E24" s="98"/>
      <c r="F24" s="98"/>
      <c r="G24" s="98"/>
    </row>
    <row r="25" spans="1:21" ht="51" x14ac:dyDescent="0.25">
      <c r="A25" s="26" t="s">
        <v>50</v>
      </c>
      <c r="B25" s="26" t="s">
        <v>51</v>
      </c>
      <c r="C25" s="26"/>
      <c r="D25" s="26" t="s">
        <v>3</v>
      </c>
      <c r="E25" s="26" t="s">
        <v>4</v>
      </c>
      <c r="F25" s="26" t="s">
        <v>5</v>
      </c>
      <c r="G25" s="26" t="s">
        <v>52</v>
      </c>
    </row>
    <row r="26" spans="1:21" ht="44.25" customHeight="1" x14ac:dyDescent="0.25">
      <c r="A26" s="27" t="s">
        <v>7</v>
      </c>
      <c r="B26" s="27" t="s">
        <v>54</v>
      </c>
      <c r="C26" s="27"/>
      <c r="D26" s="28">
        <f>SUM(D27:D31)</f>
        <v>96712</v>
      </c>
      <c r="E26" s="28">
        <f t="shared" ref="E26:F26" si="16">SUM(E27:E31)</f>
        <v>254500</v>
      </c>
      <c r="F26" s="28">
        <f t="shared" si="16"/>
        <v>239400</v>
      </c>
      <c r="G26" s="29">
        <f>SUM(D29:F29)/SUM(D26:F26)</f>
        <v>5.9260563618754786E-2</v>
      </c>
    </row>
    <row r="27" spans="1:21" ht="44.25" customHeight="1" x14ac:dyDescent="0.25">
      <c r="A27" s="30" t="s">
        <v>55</v>
      </c>
      <c r="B27" s="31" t="s">
        <v>56</v>
      </c>
      <c r="C27" s="31"/>
      <c r="D27" s="32">
        <v>5000</v>
      </c>
      <c r="E27" s="32">
        <v>24000</v>
      </c>
      <c r="F27" s="32">
        <v>132400</v>
      </c>
      <c r="G27" s="32"/>
      <c r="M27" s="3"/>
    </row>
    <row r="28" spans="1:21" ht="44.25" customHeight="1" x14ac:dyDescent="0.25">
      <c r="A28" s="30" t="s">
        <v>57</v>
      </c>
      <c r="B28" s="34" t="s">
        <v>58</v>
      </c>
      <c r="C28" s="31"/>
      <c r="D28" s="32">
        <v>34712</v>
      </c>
      <c r="E28" s="32">
        <v>136500</v>
      </c>
      <c r="F28" s="32">
        <v>10000</v>
      </c>
      <c r="G28" s="32"/>
    </row>
    <row r="29" spans="1:21" ht="44.25" customHeight="1" x14ac:dyDescent="0.25">
      <c r="A29" s="30" t="s">
        <v>59</v>
      </c>
      <c r="B29" s="34" t="s">
        <v>60</v>
      </c>
      <c r="C29" s="31"/>
      <c r="D29" s="32">
        <v>35000</v>
      </c>
      <c r="E29" s="32">
        <v>0</v>
      </c>
      <c r="F29" s="32">
        <v>0</v>
      </c>
      <c r="G29" s="32"/>
    </row>
    <row r="30" spans="1:21" ht="44.25" customHeight="1" x14ac:dyDescent="0.25">
      <c r="A30" s="30" t="s">
        <v>61</v>
      </c>
      <c r="B30" s="34" t="s">
        <v>62</v>
      </c>
      <c r="C30" s="31"/>
      <c r="D30" s="32">
        <v>2000</v>
      </c>
      <c r="E30" s="32">
        <v>0</v>
      </c>
      <c r="F30" s="32">
        <v>53000</v>
      </c>
      <c r="G30" s="32"/>
    </row>
    <row r="31" spans="1:21" ht="44.25" customHeight="1" x14ac:dyDescent="0.25">
      <c r="A31" s="30" t="s">
        <v>63</v>
      </c>
      <c r="B31" s="35" t="s">
        <v>64</v>
      </c>
      <c r="C31" s="42"/>
      <c r="D31" s="32">
        <v>20000</v>
      </c>
      <c r="E31" s="32">
        <v>94000</v>
      </c>
      <c r="F31" s="32">
        <v>44000</v>
      </c>
      <c r="G31" s="32"/>
    </row>
    <row r="32" spans="1:21" ht="44.25" customHeight="1" x14ac:dyDescent="0.25">
      <c r="A32" s="27" t="s">
        <v>13</v>
      </c>
      <c r="B32" s="27" t="s">
        <v>65</v>
      </c>
      <c r="C32" s="27"/>
      <c r="D32" s="28">
        <f>SUM(D33:D37)</f>
        <v>125000</v>
      </c>
      <c r="E32" s="28">
        <f t="shared" ref="E32:F32" si="17">SUM(E33:E37)</f>
        <v>113000</v>
      </c>
      <c r="F32" s="28">
        <f t="shared" si="17"/>
        <v>108000</v>
      </c>
      <c r="G32" s="27"/>
    </row>
    <row r="33" spans="1:7" ht="44.25" customHeight="1" x14ac:dyDescent="0.25">
      <c r="A33" s="30" t="s">
        <v>66</v>
      </c>
      <c r="B33" s="31" t="s">
        <v>67</v>
      </c>
      <c r="C33" s="31"/>
      <c r="D33" s="32">
        <v>30000</v>
      </c>
      <c r="E33" s="32">
        <v>8500</v>
      </c>
      <c r="F33" s="32">
        <v>8000</v>
      </c>
      <c r="G33" s="32"/>
    </row>
    <row r="34" spans="1:7" ht="44.25" customHeight="1" x14ac:dyDescent="0.25">
      <c r="A34" s="30" t="s">
        <v>68</v>
      </c>
      <c r="B34" s="34" t="s">
        <v>69</v>
      </c>
      <c r="C34" s="31"/>
      <c r="D34" s="32">
        <v>42000</v>
      </c>
      <c r="E34" s="32">
        <v>7000</v>
      </c>
      <c r="F34" s="32">
        <v>10000</v>
      </c>
      <c r="G34" s="32"/>
    </row>
    <row r="35" spans="1:7" ht="44.25" customHeight="1" x14ac:dyDescent="0.25">
      <c r="A35" s="30" t="s">
        <v>70</v>
      </c>
      <c r="B35" s="34" t="s">
        <v>71</v>
      </c>
      <c r="C35" s="31"/>
      <c r="D35" s="32">
        <v>1000</v>
      </c>
      <c r="E35" s="32">
        <v>3500</v>
      </c>
      <c r="F35" s="32">
        <v>5000</v>
      </c>
      <c r="G35" s="32"/>
    </row>
    <row r="36" spans="1:7" ht="44.25" customHeight="1" x14ac:dyDescent="0.25">
      <c r="A36" s="30" t="s">
        <v>72</v>
      </c>
      <c r="B36" s="34" t="s">
        <v>73</v>
      </c>
      <c r="C36" s="31"/>
      <c r="D36" s="32">
        <v>40000</v>
      </c>
      <c r="E36" s="32">
        <v>93000</v>
      </c>
      <c r="F36" s="32">
        <v>75000</v>
      </c>
      <c r="G36" s="32"/>
    </row>
    <row r="37" spans="1:7" ht="44.25" customHeight="1" x14ac:dyDescent="0.25">
      <c r="A37" s="30" t="s">
        <v>74</v>
      </c>
      <c r="B37" s="34" t="s">
        <v>75</v>
      </c>
      <c r="C37" s="31"/>
      <c r="D37" s="32">
        <v>12000</v>
      </c>
      <c r="E37" s="32">
        <v>1000</v>
      </c>
      <c r="F37" s="32">
        <v>10000</v>
      </c>
      <c r="G37" s="32"/>
    </row>
    <row r="38" spans="1:7" ht="44.25" customHeight="1" x14ac:dyDescent="0.25">
      <c r="A38" s="27" t="s">
        <v>19</v>
      </c>
      <c r="B38" s="27" t="s">
        <v>76</v>
      </c>
      <c r="C38" s="27"/>
      <c r="D38" s="28">
        <f>SUM(D39:D41)</f>
        <v>25500</v>
      </c>
      <c r="E38" s="28">
        <f t="shared" ref="E38:F38" si="18">SUM(E39:E41)</f>
        <v>11000</v>
      </c>
      <c r="F38" s="28">
        <f t="shared" si="18"/>
        <v>27000</v>
      </c>
      <c r="G38" s="27"/>
    </row>
    <row r="39" spans="1:7" ht="44.25" customHeight="1" x14ac:dyDescent="0.25">
      <c r="A39" s="30" t="s">
        <v>77</v>
      </c>
      <c r="B39" s="34" t="s">
        <v>78</v>
      </c>
      <c r="C39" s="34"/>
      <c r="D39" s="36">
        <v>4500</v>
      </c>
      <c r="E39" s="36">
        <v>2500</v>
      </c>
      <c r="F39" s="37">
        <v>10000</v>
      </c>
      <c r="G39" s="37"/>
    </row>
    <row r="40" spans="1:7" ht="44.25" customHeight="1" x14ac:dyDescent="0.25">
      <c r="A40" s="30" t="s">
        <v>79</v>
      </c>
      <c r="B40" s="34" t="s">
        <v>80</v>
      </c>
      <c r="C40" s="34"/>
      <c r="D40" s="36">
        <v>20000</v>
      </c>
      <c r="E40" s="36">
        <v>7500</v>
      </c>
      <c r="F40" s="37">
        <v>12000</v>
      </c>
      <c r="G40" s="37"/>
    </row>
    <row r="41" spans="1:7" ht="44.25" customHeight="1" x14ac:dyDescent="0.25">
      <c r="A41" s="30" t="s">
        <v>81</v>
      </c>
      <c r="B41" s="34" t="s">
        <v>82</v>
      </c>
      <c r="C41" s="34"/>
      <c r="D41" s="36">
        <v>1000</v>
      </c>
      <c r="E41" s="36">
        <v>1000</v>
      </c>
      <c r="F41" s="37">
        <v>5000</v>
      </c>
      <c r="G41" s="37"/>
    </row>
    <row r="42" spans="1:7" x14ac:dyDescent="0.25">
      <c r="A42" s="99" t="s">
        <v>23</v>
      </c>
      <c r="B42" s="100"/>
      <c r="C42" s="64"/>
      <c r="D42" s="38">
        <f>SUM(D26+D32+D38)</f>
        <v>247212</v>
      </c>
      <c r="E42" s="38">
        <f t="shared" ref="E42:F42" si="19">SUM(E26+E32+E38)</f>
        <v>378500</v>
      </c>
      <c r="F42" s="38">
        <f t="shared" si="19"/>
        <v>374400</v>
      </c>
      <c r="G42" s="26"/>
    </row>
    <row r="43" spans="1:7" x14ac:dyDescent="0.25">
      <c r="A43" s="99" t="s">
        <v>24</v>
      </c>
      <c r="B43" s="100"/>
      <c r="C43" s="64"/>
      <c r="D43" s="38">
        <f>D42*0.07</f>
        <v>17304.84</v>
      </c>
      <c r="E43" s="38">
        <f t="shared" ref="E43:F43" si="20">E42*0.07</f>
        <v>26495.000000000004</v>
      </c>
      <c r="F43" s="38">
        <f t="shared" si="20"/>
        <v>26208.000000000004</v>
      </c>
      <c r="G43" s="26"/>
    </row>
    <row r="44" spans="1:7" x14ac:dyDescent="0.25">
      <c r="A44" s="99" t="s">
        <v>25</v>
      </c>
      <c r="B44" s="100"/>
      <c r="C44" s="64"/>
      <c r="D44" s="38">
        <f>SUM(D42:D43)</f>
        <v>264516.84000000003</v>
      </c>
      <c r="E44" s="38">
        <f t="shared" ref="E44:F44" si="21">SUM(E42:E43)</f>
        <v>404995</v>
      </c>
      <c r="F44" s="38">
        <f t="shared" si="21"/>
        <v>400608</v>
      </c>
      <c r="G44" s="26"/>
    </row>
    <row r="47" spans="1:7" x14ac:dyDescent="0.25">
      <c r="A47" s="98" t="s">
        <v>83</v>
      </c>
      <c r="B47" s="98"/>
      <c r="C47" s="98"/>
      <c r="D47" s="98"/>
      <c r="E47" s="98"/>
      <c r="F47" s="98"/>
      <c r="G47" s="98"/>
    </row>
    <row r="48" spans="1:7" ht="51" x14ac:dyDescent="0.25">
      <c r="A48" s="26" t="s">
        <v>50</v>
      </c>
      <c r="B48" s="26" t="s">
        <v>51</v>
      </c>
      <c r="C48" s="26"/>
      <c r="D48" s="26" t="s">
        <v>3</v>
      </c>
      <c r="E48" s="26" t="s">
        <v>4</v>
      </c>
      <c r="F48" s="26" t="s">
        <v>5</v>
      </c>
      <c r="G48" s="26" t="s">
        <v>52</v>
      </c>
    </row>
    <row r="49" spans="1:7" ht="42.75" customHeight="1" x14ac:dyDescent="0.25">
      <c r="A49" s="27" t="s">
        <v>7</v>
      </c>
      <c r="B49" s="27" t="s">
        <v>54</v>
      </c>
      <c r="C49" s="27"/>
      <c r="D49" s="28">
        <f>SUM(D50:D54)</f>
        <v>155115.39000000001</v>
      </c>
      <c r="E49" s="28">
        <f t="shared" ref="E49:F49" si="22">SUM(E50:E54)</f>
        <v>115000</v>
      </c>
      <c r="F49" s="28">
        <f t="shared" si="22"/>
        <v>143940</v>
      </c>
      <c r="G49" s="29">
        <f>SUM(D52:F52)/SUM(D49:F49)</f>
        <v>0.20942850182435735</v>
      </c>
    </row>
    <row r="50" spans="1:7" ht="31.5" customHeight="1" x14ac:dyDescent="0.25">
      <c r="A50" s="30" t="s">
        <v>55</v>
      </c>
      <c r="B50" s="31" t="s">
        <v>56</v>
      </c>
      <c r="C50" s="31"/>
      <c r="D50" s="51">
        <v>23598</v>
      </c>
      <c r="E50" s="51">
        <v>30000</v>
      </c>
      <c r="F50" s="51">
        <v>83940</v>
      </c>
      <c r="G50" s="32"/>
    </row>
    <row r="51" spans="1:7" ht="31.5" customHeight="1" x14ac:dyDescent="0.25">
      <c r="A51" s="30" t="s">
        <v>57</v>
      </c>
      <c r="B51" s="34" t="s">
        <v>58</v>
      </c>
      <c r="C51" s="31"/>
      <c r="D51" s="51">
        <v>44802.39</v>
      </c>
      <c r="E51" s="51">
        <v>85000</v>
      </c>
      <c r="F51" s="51">
        <v>0</v>
      </c>
      <c r="G51" s="32"/>
    </row>
    <row r="52" spans="1:7" ht="31.5" customHeight="1" x14ac:dyDescent="0.25">
      <c r="A52" s="30" t="s">
        <v>59</v>
      </c>
      <c r="B52" s="34" t="s">
        <v>60</v>
      </c>
      <c r="C52" s="31"/>
      <c r="D52" s="51">
        <v>86715</v>
      </c>
      <c r="E52" s="51">
        <v>0</v>
      </c>
      <c r="F52" s="51">
        <v>0</v>
      </c>
      <c r="G52" s="32"/>
    </row>
    <row r="53" spans="1:7" ht="31.5" customHeight="1" x14ac:dyDescent="0.25">
      <c r="A53" s="30" t="s">
        <v>61</v>
      </c>
      <c r="B53" s="34" t="s">
        <v>62</v>
      </c>
      <c r="C53" s="31"/>
      <c r="D53" s="51">
        <v>0</v>
      </c>
      <c r="E53" s="51">
        <v>0</v>
      </c>
      <c r="F53" s="51">
        <v>45000</v>
      </c>
      <c r="G53" s="32"/>
    </row>
    <row r="54" spans="1:7" ht="31.5" customHeight="1" x14ac:dyDescent="0.25">
      <c r="A54" s="30" t="s">
        <v>63</v>
      </c>
      <c r="B54" s="35" t="s">
        <v>64</v>
      </c>
      <c r="C54" s="42"/>
      <c r="D54" s="51">
        <v>0</v>
      </c>
      <c r="E54" s="51">
        <v>0</v>
      </c>
      <c r="F54" s="51">
        <v>15000</v>
      </c>
      <c r="G54" s="32"/>
    </row>
    <row r="55" spans="1:7" ht="39.75" customHeight="1" x14ac:dyDescent="0.25">
      <c r="A55" s="27" t="s">
        <v>13</v>
      </c>
      <c r="B55" s="27" t="s">
        <v>65</v>
      </c>
      <c r="C55" s="27"/>
      <c r="D55" s="28">
        <f>SUM(D56:D60)</f>
        <v>154674.1</v>
      </c>
      <c r="E55" s="28">
        <f t="shared" ref="E55:F55" si="23">SUM(E56:E60)</f>
        <v>140000</v>
      </c>
      <c r="F55" s="28">
        <f t="shared" si="23"/>
        <v>100000</v>
      </c>
      <c r="G55" s="27"/>
    </row>
    <row r="56" spans="1:7" ht="31.5" customHeight="1" x14ac:dyDescent="0.25">
      <c r="A56" s="30" t="s">
        <v>66</v>
      </c>
      <c r="B56" s="31" t="s">
        <v>67</v>
      </c>
      <c r="C56" s="31"/>
      <c r="D56" s="51">
        <v>0</v>
      </c>
      <c r="E56" s="51">
        <v>35000</v>
      </c>
      <c r="F56" s="51">
        <v>0</v>
      </c>
      <c r="G56" s="32"/>
    </row>
    <row r="57" spans="1:7" ht="31.5" customHeight="1" x14ac:dyDescent="0.25">
      <c r="A57" s="30" t="s">
        <v>68</v>
      </c>
      <c r="B57" s="34" t="s">
        <v>69</v>
      </c>
      <c r="C57" s="31"/>
      <c r="D57" s="51">
        <v>55482</v>
      </c>
      <c r="E57" s="51">
        <v>70000</v>
      </c>
      <c r="F57" s="51">
        <v>10000</v>
      </c>
      <c r="G57" s="32"/>
    </row>
    <row r="58" spans="1:7" ht="31.5" customHeight="1" x14ac:dyDescent="0.25">
      <c r="A58" s="30" t="s">
        <v>70</v>
      </c>
      <c r="B58" s="34" t="s">
        <v>71</v>
      </c>
      <c r="C58" s="31"/>
      <c r="D58" s="51">
        <v>0</v>
      </c>
      <c r="E58" s="51">
        <v>0</v>
      </c>
      <c r="F58" s="51">
        <v>0</v>
      </c>
      <c r="G58" s="32"/>
    </row>
    <row r="59" spans="1:7" ht="31.5" customHeight="1" x14ac:dyDescent="0.25">
      <c r="A59" s="30" t="s">
        <v>72</v>
      </c>
      <c r="B59" s="34" t="s">
        <v>73</v>
      </c>
      <c r="C59" s="31"/>
      <c r="D59" s="51">
        <v>70000</v>
      </c>
      <c r="E59" s="51">
        <v>35000</v>
      </c>
      <c r="F59" s="51">
        <v>90000</v>
      </c>
      <c r="G59" s="32"/>
    </row>
    <row r="60" spans="1:7" ht="31.5" customHeight="1" x14ac:dyDescent="0.25">
      <c r="A60" s="30" t="s">
        <v>74</v>
      </c>
      <c r="B60" s="34" t="s">
        <v>75</v>
      </c>
      <c r="C60" s="31"/>
      <c r="D60" s="51">
        <v>29192.1</v>
      </c>
      <c r="E60" s="51">
        <v>0</v>
      </c>
      <c r="F60" s="51">
        <v>0</v>
      </c>
      <c r="G60" s="32"/>
    </row>
    <row r="61" spans="1:7" ht="41.25" customHeight="1" x14ac:dyDescent="0.25">
      <c r="A61" s="27" t="s">
        <v>19</v>
      </c>
      <c r="B61" s="27" t="s">
        <v>76</v>
      </c>
      <c r="C61" s="27"/>
      <c r="D61" s="28">
        <f>SUM(D62:D64)</f>
        <v>40696</v>
      </c>
      <c r="E61" s="28">
        <f t="shared" ref="E61:F61" si="24">SUM(E62:E64)</f>
        <v>10000</v>
      </c>
      <c r="F61" s="28">
        <f t="shared" si="24"/>
        <v>25000</v>
      </c>
      <c r="G61" s="27"/>
    </row>
    <row r="62" spans="1:7" ht="31.5" customHeight="1" x14ac:dyDescent="0.25">
      <c r="A62" s="30" t="s">
        <v>77</v>
      </c>
      <c r="B62" s="34" t="s">
        <v>78</v>
      </c>
      <c r="C62" s="34"/>
      <c r="D62" s="51">
        <v>26320</v>
      </c>
      <c r="E62" s="51">
        <v>0</v>
      </c>
      <c r="F62" s="51">
        <v>10000</v>
      </c>
      <c r="G62" s="37"/>
    </row>
    <row r="63" spans="1:7" ht="31.5" customHeight="1" x14ac:dyDescent="0.25">
      <c r="A63" s="30" t="s">
        <v>79</v>
      </c>
      <c r="B63" s="34" t="s">
        <v>80</v>
      </c>
      <c r="C63" s="34"/>
      <c r="D63" s="51">
        <v>14376</v>
      </c>
      <c r="E63" s="51">
        <v>10000</v>
      </c>
      <c r="F63" s="51">
        <v>10000</v>
      </c>
      <c r="G63" s="37"/>
    </row>
    <row r="64" spans="1:7" ht="31.5" customHeight="1" x14ac:dyDescent="0.25">
      <c r="A64" s="30" t="s">
        <v>81</v>
      </c>
      <c r="B64" s="34" t="s">
        <v>82</v>
      </c>
      <c r="C64" s="34"/>
      <c r="D64" s="51">
        <v>0</v>
      </c>
      <c r="E64" s="51">
        <v>0</v>
      </c>
      <c r="F64" s="51">
        <v>5000</v>
      </c>
      <c r="G64" s="37"/>
    </row>
    <row r="65" spans="1:7" x14ac:dyDescent="0.25">
      <c r="A65" s="99" t="s">
        <v>23</v>
      </c>
      <c r="B65" s="100"/>
      <c r="C65" s="64"/>
      <c r="D65" s="38">
        <f>SUM(D49+D55+D61)</f>
        <v>350485.49</v>
      </c>
      <c r="E65" s="38">
        <f t="shared" ref="E65:F65" si="25">SUM(E49+E55+E61)</f>
        <v>265000</v>
      </c>
      <c r="F65" s="38">
        <f t="shared" si="25"/>
        <v>268940</v>
      </c>
      <c r="G65" s="26"/>
    </row>
    <row r="66" spans="1:7" x14ac:dyDescent="0.25">
      <c r="A66" s="99" t="s">
        <v>24</v>
      </c>
      <c r="B66" s="100"/>
      <c r="C66" s="64"/>
      <c r="D66" s="38">
        <f>D65*0.07</f>
        <v>24533.9843</v>
      </c>
      <c r="E66" s="38">
        <f t="shared" ref="E66:F66" si="26">E65*0.07</f>
        <v>18550</v>
      </c>
      <c r="F66" s="38">
        <f t="shared" si="26"/>
        <v>18825.800000000003</v>
      </c>
      <c r="G66" s="26"/>
    </row>
    <row r="67" spans="1:7" x14ac:dyDescent="0.25">
      <c r="A67" s="99" t="s">
        <v>25</v>
      </c>
      <c r="B67" s="100"/>
      <c r="C67" s="64"/>
      <c r="D67" s="38">
        <f>SUM(D65:D66)</f>
        <v>375019.4743</v>
      </c>
      <c r="E67" s="38">
        <f t="shared" ref="E67:F67" si="27">SUM(E65:E66)</f>
        <v>283550</v>
      </c>
      <c r="F67" s="38">
        <f t="shared" si="27"/>
        <v>287765.8</v>
      </c>
      <c r="G67" s="26"/>
    </row>
    <row r="70" spans="1:7" x14ac:dyDescent="0.25">
      <c r="A70" s="98" t="s">
        <v>30</v>
      </c>
      <c r="B70" s="98"/>
      <c r="C70" s="98"/>
      <c r="D70" s="98"/>
      <c r="E70" s="98"/>
      <c r="F70" s="98"/>
      <c r="G70" s="98"/>
    </row>
    <row r="71" spans="1:7" ht="51" x14ac:dyDescent="0.25">
      <c r="A71" s="26" t="s">
        <v>50</v>
      </c>
      <c r="B71" s="26" t="s">
        <v>51</v>
      </c>
      <c r="C71" s="26"/>
      <c r="D71" s="26" t="s">
        <v>3</v>
      </c>
      <c r="E71" s="26" t="s">
        <v>4</v>
      </c>
      <c r="F71" s="26" t="s">
        <v>5</v>
      </c>
      <c r="G71" s="26" t="s">
        <v>52</v>
      </c>
    </row>
    <row r="72" spans="1:7" ht="36.75" customHeight="1" x14ac:dyDescent="0.25">
      <c r="A72" s="27" t="s">
        <v>7</v>
      </c>
      <c r="B72" s="27" t="s">
        <v>54</v>
      </c>
      <c r="C72" s="27"/>
      <c r="D72" s="28">
        <f>SUM(D73:D77)</f>
        <v>200101.59999999998</v>
      </c>
      <c r="E72" s="28">
        <f t="shared" ref="E72:F72" si="28">SUM(E73:E77)</f>
        <v>300500</v>
      </c>
      <c r="F72" s="28">
        <f t="shared" si="28"/>
        <v>231400</v>
      </c>
      <c r="G72" s="29">
        <f>SUM(D75:F75)/SUM(D72:F72)</f>
        <v>8.4371127057645781E-2</v>
      </c>
    </row>
    <row r="73" spans="1:7" ht="36.75" customHeight="1" x14ac:dyDescent="0.25">
      <c r="A73" s="30" t="s">
        <v>55</v>
      </c>
      <c r="B73" s="31" t="s">
        <v>56</v>
      </c>
      <c r="C73" s="31"/>
      <c r="D73" s="32">
        <v>0</v>
      </c>
      <c r="E73" s="55">
        <v>105000</v>
      </c>
      <c r="F73" s="32">
        <v>106400</v>
      </c>
      <c r="G73" s="32"/>
    </row>
    <row r="74" spans="1:7" ht="36.75" customHeight="1" x14ac:dyDescent="0.25">
      <c r="A74" s="30" t="s">
        <v>57</v>
      </c>
      <c r="B74" s="34" t="s">
        <v>58</v>
      </c>
      <c r="C74" s="31"/>
      <c r="D74" s="32">
        <v>86582</v>
      </c>
      <c r="E74" s="55">
        <v>70500</v>
      </c>
      <c r="F74" s="32">
        <v>10000</v>
      </c>
      <c r="G74" s="32"/>
    </row>
    <row r="75" spans="1:7" ht="36.75" customHeight="1" x14ac:dyDescent="0.25">
      <c r="A75" s="30" t="s">
        <v>59</v>
      </c>
      <c r="B75" s="34" t="s">
        <v>60</v>
      </c>
      <c r="C75" s="31"/>
      <c r="D75" s="32">
        <v>56759.8</v>
      </c>
      <c r="E75" s="55">
        <v>0</v>
      </c>
      <c r="F75" s="32">
        <v>5000</v>
      </c>
      <c r="G75" s="32"/>
    </row>
    <row r="76" spans="1:7" ht="36.75" customHeight="1" x14ac:dyDescent="0.25">
      <c r="A76" s="30" t="s">
        <v>61</v>
      </c>
      <c r="B76" s="34" t="s">
        <v>62</v>
      </c>
      <c r="C76" s="31"/>
      <c r="D76" s="32">
        <v>0</v>
      </c>
      <c r="E76" s="55">
        <v>110000</v>
      </c>
      <c r="F76" s="32">
        <v>60000</v>
      </c>
      <c r="G76" s="32"/>
    </row>
    <row r="77" spans="1:7" ht="36.75" customHeight="1" x14ac:dyDescent="0.25">
      <c r="A77" s="30" t="s">
        <v>63</v>
      </c>
      <c r="B77" s="35" t="s">
        <v>64</v>
      </c>
      <c r="C77" s="42"/>
      <c r="D77" s="32">
        <v>56759.8</v>
      </c>
      <c r="E77" s="55">
        <v>15000</v>
      </c>
      <c r="F77" s="32">
        <v>50000</v>
      </c>
      <c r="G77" s="32"/>
    </row>
    <row r="78" spans="1:7" ht="36.75" customHeight="1" x14ac:dyDescent="0.25">
      <c r="A78" s="27" t="s">
        <v>13</v>
      </c>
      <c r="B78" s="27" t="s">
        <v>65</v>
      </c>
      <c r="C78" s="27"/>
      <c r="D78" s="28">
        <f>SUM(D79:D83)</f>
        <v>52380</v>
      </c>
      <c r="E78" s="28">
        <f t="shared" ref="E78:F78" si="29">SUM(E79:E83)</f>
        <v>191500</v>
      </c>
      <c r="F78" s="28">
        <f t="shared" si="29"/>
        <v>122500</v>
      </c>
      <c r="G78" s="27"/>
    </row>
    <row r="79" spans="1:7" ht="36.75" customHeight="1" x14ac:dyDescent="0.25">
      <c r="A79" s="30" t="s">
        <v>66</v>
      </c>
      <c r="B79" s="31" t="s">
        <v>67</v>
      </c>
      <c r="C79" s="31"/>
      <c r="D79" s="32">
        <v>11750</v>
      </c>
      <c r="E79" s="55">
        <v>39000</v>
      </c>
      <c r="F79" s="32">
        <v>10000</v>
      </c>
      <c r="G79" s="32"/>
    </row>
    <row r="80" spans="1:7" ht="36.75" customHeight="1" x14ac:dyDescent="0.25">
      <c r="A80" s="30" t="s">
        <v>68</v>
      </c>
      <c r="B80" s="34" t="s">
        <v>69</v>
      </c>
      <c r="C80" s="31"/>
      <c r="D80" s="32">
        <v>25380</v>
      </c>
      <c r="E80" s="55">
        <v>0</v>
      </c>
      <c r="F80" s="32">
        <v>10000</v>
      </c>
      <c r="G80" s="32"/>
    </row>
    <row r="81" spans="1:7" ht="36.75" customHeight="1" x14ac:dyDescent="0.25">
      <c r="A81" s="30" t="s">
        <v>70</v>
      </c>
      <c r="B81" s="34" t="s">
        <v>71</v>
      </c>
      <c r="C81" s="31"/>
      <c r="D81" s="32">
        <v>0</v>
      </c>
      <c r="E81" s="55">
        <v>0</v>
      </c>
      <c r="F81" s="32">
        <v>5000</v>
      </c>
      <c r="G81" s="32"/>
    </row>
    <row r="82" spans="1:7" ht="36.75" customHeight="1" x14ac:dyDescent="0.25">
      <c r="A82" s="30" t="s">
        <v>72</v>
      </c>
      <c r="B82" s="34" t="s">
        <v>73</v>
      </c>
      <c r="C82" s="31"/>
      <c r="D82" s="32">
        <v>0</v>
      </c>
      <c r="E82" s="55">
        <v>152500</v>
      </c>
      <c r="F82" s="32">
        <v>67500</v>
      </c>
      <c r="G82" s="32"/>
    </row>
    <row r="83" spans="1:7" ht="36.75" customHeight="1" x14ac:dyDescent="0.25">
      <c r="A83" s="30" t="s">
        <v>74</v>
      </c>
      <c r="B83" s="34" t="s">
        <v>75</v>
      </c>
      <c r="C83" s="31"/>
      <c r="D83" s="32">
        <v>15250</v>
      </c>
      <c r="E83" s="55">
        <v>0</v>
      </c>
      <c r="F83" s="32">
        <v>30000</v>
      </c>
      <c r="G83" s="32"/>
    </row>
    <row r="84" spans="1:7" ht="36.75" customHeight="1" x14ac:dyDescent="0.25">
      <c r="A84" s="27" t="s">
        <v>19</v>
      </c>
      <c r="B84" s="27" t="s">
        <v>76</v>
      </c>
      <c r="C84" s="27"/>
      <c r="D84" s="28">
        <f>SUM(D85:D87)</f>
        <v>40650</v>
      </c>
      <c r="E84" s="28">
        <f t="shared" ref="E84:F84" si="30">SUM(E85:E87)</f>
        <v>50000</v>
      </c>
      <c r="F84" s="28">
        <f t="shared" si="30"/>
        <v>30000</v>
      </c>
      <c r="G84" s="27"/>
    </row>
    <row r="85" spans="1:7" ht="36.75" customHeight="1" x14ac:dyDescent="0.25">
      <c r="A85" s="30" t="s">
        <v>77</v>
      </c>
      <c r="B85" s="34" t="s">
        <v>78</v>
      </c>
      <c r="C85" s="34"/>
      <c r="D85" s="36">
        <v>11450</v>
      </c>
      <c r="E85" s="52">
        <v>25000</v>
      </c>
      <c r="F85" s="37">
        <v>10000</v>
      </c>
      <c r="G85" s="37"/>
    </row>
    <row r="86" spans="1:7" ht="36.75" customHeight="1" x14ac:dyDescent="0.25">
      <c r="A86" s="30" t="s">
        <v>79</v>
      </c>
      <c r="B86" s="34" t="s">
        <v>80</v>
      </c>
      <c r="C86" s="34"/>
      <c r="D86" s="36">
        <v>29200</v>
      </c>
      <c r="E86" s="52">
        <v>25000</v>
      </c>
      <c r="F86" s="37">
        <v>15000</v>
      </c>
      <c r="G86" s="37"/>
    </row>
    <row r="87" spans="1:7" ht="36.75" customHeight="1" x14ac:dyDescent="0.25">
      <c r="A87" s="30" t="s">
        <v>81</v>
      </c>
      <c r="B87" s="34" t="s">
        <v>82</v>
      </c>
      <c r="C87" s="34"/>
      <c r="D87" s="36">
        <v>0</v>
      </c>
      <c r="E87" s="9">
        <v>0</v>
      </c>
      <c r="F87" s="37">
        <v>5000</v>
      </c>
      <c r="G87" s="37"/>
    </row>
    <row r="88" spans="1:7" x14ac:dyDescent="0.25">
      <c r="A88" s="99" t="s">
        <v>23</v>
      </c>
      <c r="B88" s="100"/>
      <c r="C88" s="64"/>
      <c r="D88" s="38">
        <f>SUM(D72+D78+D84)</f>
        <v>293131.59999999998</v>
      </c>
      <c r="E88" s="38">
        <f t="shared" ref="E88:F88" si="31">SUM(E72+E78+E84)</f>
        <v>542000</v>
      </c>
      <c r="F88" s="38">
        <f t="shared" si="31"/>
        <v>383900</v>
      </c>
      <c r="G88" s="26"/>
    </row>
    <row r="89" spans="1:7" x14ac:dyDescent="0.25">
      <c r="A89" s="99" t="s">
        <v>24</v>
      </c>
      <c r="B89" s="100"/>
      <c r="C89" s="64"/>
      <c r="D89" s="38">
        <f>D88*0.07</f>
        <v>20519.212</v>
      </c>
      <c r="E89" s="38">
        <f t="shared" ref="E89:F89" si="32">E88*0.07</f>
        <v>37940</v>
      </c>
      <c r="F89" s="38">
        <f t="shared" si="32"/>
        <v>26873.000000000004</v>
      </c>
      <c r="G89" s="26"/>
    </row>
    <row r="90" spans="1:7" x14ac:dyDescent="0.25">
      <c r="A90" s="99" t="s">
        <v>25</v>
      </c>
      <c r="B90" s="100"/>
      <c r="C90" s="64"/>
      <c r="D90" s="38">
        <f>SUM(D88:D89)</f>
        <v>313650.81199999998</v>
      </c>
      <c r="E90" s="38">
        <f t="shared" ref="E90:F90" si="33">SUM(E88:E89)</f>
        <v>579940</v>
      </c>
      <c r="F90" s="38">
        <f t="shared" si="33"/>
        <v>410773</v>
      </c>
      <c r="G90" s="26"/>
    </row>
  </sheetData>
  <mergeCells count="20">
    <mergeCell ref="A90:B90"/>
    <mergeCell ref="M19:N19"/>
    <mergeCell ref="M20:N20"/>
    <mergeCell ref="A67:B67"/>
    <mergeCell ref="A19:B19"/>
    <mergeCell ref="A20:B20"/>
    <mergeCell ref="A21:B21"/>
    <mergeCell ref="A24:G24"/>
    <mergeCell ref="A42:B42"/>
    <mergeCell ref="A43:B43"/>
    <mergeCell ref="A44:B44"/>
    <mergeCell ref="A47:G47"/>
    <mergeCell ref="A65:B65"/>
    <mergeCell ref="A66:B66"/>
    <mergeCell ref="M21:N21"/>
    <mergeCell ref="M1:U1"/>
    <mergeCell ref="A70:G70"/>
    <mergeCell ref="A88:B88"/>
    <mergeCell ref="A89:B89"/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2019-01-02T15:00:00+00:00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Bosnia and Herzegovina</TermName>
          <TermId xmlns="http://schemas.microsoft.com/office/infopath/2007/PartnerControls">12e68a2f-f5a5-44ce-9df0-af423b875d0b</TermId>
        </TermInfo>
      </Terms>
    </UNDPCountryTaxHTField0>
    <UndpOUCode xmlns="1ed4137b-41b2-488b-8250-6d369ec27664">BIH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cohesion</TermName>
          <TermId xmlns="http://schemas.microsoft.com/office/infopath/2007/PartnerControls">288ce7ff-7d2c-44d2-88ea-61c7723fb158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2019-01-01T05:00:00+00:00</Document_x0020_Coverage_x0020_Period_x0020_Start_x0020_Date>
    <Document_x0020_Coverage_x0020_Period_x0020_End_x0020_Date xmlns="f1161f5b-24a3-4c2d-bc81-44cb9325e8ee">2020-06-30T04:00:00+00:00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1109</Value>
      <Value>1227</Value>
      <Value>665</Value>
      <Value>1</Value>
      <Value>1224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00110037</UndpProjectNo>
    <UndpDocStatus xmlns="1ed4137b-41b2-488b-8250-6d369ec27664">Approved</UndpDocStatus>
    <Outcome1 xmlns="f1161f5b-24a3-4c2d-bc81-44cb9325e8ee">00109145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BIH</TermName>
          <TermId xmlns="http://schemas.microsoft.com/office/infopath/2007/PartnerControls">d5746c13-d793-48c3-975d-cb1e743c116c</TermId>
        </TermInfo>
      </Terms>
    </gc6531b704974d528487414686b72f6f>
    <_dlc_DocId xmlns="f1161f5b-24a3-4c2d-bc81-44cb9325e8ee">ATLASPDC-4-93532</_dlc_DocId>
    <_dlc_DocIdUrl xmlns="f1161f5b-24a3-4c2d-bc81-44cb9325e8ee">
      <Url>https://info.undp.org/docs/pdc/_layouts/DocIdRedir.aspx?ID=ATLASPDC-4-93532</Url>
      <Description>ATLASPDC-4-93532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849778D-2501-41E7-B7B0-FC36AF51DA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B2CE02-8419-4B08-BDD5-AC2264A03E9F}">
  <ds:schemaRefs>
    <ds:schemaRef ds:uri="http://purl.org/dc/elements/1.1/"/>
    <ds:schemaRef ds:uri="http://www.w3.org/XML/1998/namespace"/>
    <ds:schemaRef ds:uri="5704f37d-6bfd-44e3-8465-bb5c3bf91422"/>
    <ds:schemaRef ds:uri="http://schemas.microsoft.com/office/2006/documentManagement/types"/>
    <ds:schemaRef ds:uri="http://purl.org/dc/dcmitype/"/>
    <ds:schemaRef ds:uri="b19a6b39-1efc-45ee-90be-652a02d3aa88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164EAD5-FCD1-4216-8570-60AF8874B0E1}"/>
</file>

<file path=customXml/itemProps4.xml><?xml version="1.0" encoding="utf-8"?>
<ds:datastoreItem xmlns:ds="http://schemas.openxmlformats.org/officeDocument/2006/customXml" ds:itemID="{C75E088E-7FB0-4805-BF9B-A06EE0EBA98C}"/>
</file>

<file path=customXml/itemProps5.xml><?xml version="1.0" encoding="utf-8"?>
<ds:datastoreItem xmlns:ds="http://schemas.openxmlformats.org/officeDocument/2006/customXml" ds:itemID="{2FDAC73A-5B4B-4043-8C7F-F06475ECE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DFF Regional Output Level</vt:lpstr>
      <vt:lpstr>DFF Regional Annex D.2</vt:lpstr>
      <vt:lpstr>DFF Regional Annex D.1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 country budget - DFF Regional </dc:title>
  <dc:subject/>
  <dc:creator>Marijana Markotic</dc:creator>
  <cp:keywords/>
  <dc:description/>
  <cp:lastModifiedBy>Marijana Markotic</cp:lastModifiedBy>
  <cp:revision/>
  <dcterms:created xsi:type="dcterms:W3CDTF">2018-08-17T08:35:35Z</dcterms:created>
  <dcterms:modified xsi:type="dcterms:W3CDTF">2019-06-12T12:06:35Z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AuthorIds_UIVersion_3584">
    <vt:lpwstr>630</vt:lpwstr>
  </property>
  <property fmtid="{D5CDD505-2E9C-101B-9397-08002B2CF9AE}" pid="4" name="AuthorIds_UIVersion_4096">
    <vt:lpwstr>464</vt:lpwstr>
  </property>
  <property fmtid="{D5CDD505-2E9C-101B-9397-08002B2CF9AE}" pid="5" name="UNDPCountry">
    <vt:lpwstr>1227;#Bosnia and Herzegovina|12e68a2f-f5a5-44ce-9df0-af423b875d0b</vt:lpwstr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1224;#BIH|d5746c13-d793-48c3-975d-cb1e743c116c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_dlc_DocIdItemGuid">
    <vt:lpwstr>661b393a-eb84-46ee-b10c-ba8b02a83c8c</vt:lpwstr>
  </property>
  <property fmtid="{D5CDD505-2E9C-101B-9397-08002B2CF9AE}" pid="10" name="Atlas Document Type">
    <vt:lpwstr>1109;#Budget|1c1fa43a-cb36-4844-8715-9a4cc93e1ac9</vt:lpwstr>
  </property>
  <property fmtid="{D5CDD505-2E9C-101B-9397-08002B2CF9AE}" pid="11" name="UNDPFocusAreas">
    <vt:lpwstr>665;#Social cohesion|288ce7ff-7d2c-44d2-88ea-61c7723fb158</vt:lpwstr>
  </property>
  <property fmtid="{D5CDD505-2E9C-101B-9397-08002B2CF9AE}" pid="12" name="UNDPDocumentCategory">
    <vt:lpwstr/>
  </property>
  <property fmtid="{D5CDD505-2E9C-101B-9397-08002B2CF9AE}" pid="13" name="eRegFilingCodeMM">
    <vt:lpwstr/>
  </property>
  <property fmtid="{D5CDD505-2E9C-101B-9397-08002B2CF9AE}" pid="14" name="UndpUnitMM">
    <vt:lpwstr/>
  </property>
  <property fmtid="{D5CDD505-2E9C-101B-9397-08002B2CF9AE}" pid="15" name="UndpDocTypeMM">
    <vt:lpwstr/>
  </property>
  <property fmtid="{D5CDD505-2E9C-101B-9397-08002B2CF9AE}" pid="16" name="DocumentSetDescription">
    <vt:lpwstr/>
  </property>
  <property fmtid="{D5CDD505-2E9C-101B-9397-08002B2CF9AE}" pid="17" name="UnitTaxHTField0">
    <vt:lpwstr/>
  </property>
  <property fmtid="{D5CDD505-2E9C-101B-9397-08002B2CF9AE}" pid="18" name="Unit">
    <vt:lpwstr/>
  </property>
  <property fmtid="{D5CDD505-2E9C-101B-9397-08002B2CF9AE}" pid="19" name="URL">
    <vt:lpwstr/>
  </property>
</Properties>
</file>